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20" yWindow="105" windowWidth="21645" windowHeight="11940" tabRatio="201" activeTab="1"/>
  </bookViews>
  <sheets>
    <sheet name="прил.3" sheetId="9" r:id="rId1"/>
    <sheet name="прил.4" sheetId="11" r:id="rId2"/>
  </sheets>
  <definedNames>
    <definedName name="_xlnm._FilterDatabase" localSheetId="0" hidden="1">прил.3!$A$9:$AC$588</definedName>
    <definedName name="_xlnm.Print_Titles" localSheetId="0">прил.3!$9:$11</definedName>
    <definedName name="_xlnm.Print_Titles" localSheetId="1">прил.4!$8:$8</definedName>
  </definedNames>
  <calcPr calcId="145621"/>
</workbook>
</file>

<file path=xl/calcChain.xml><?xml version="1.0" encoding="utf-8"?>
<calcChain xmlns="http://schemas.openxmlformats.org/spreadsheetml/2006/main">
  <c r="G26" i="11" l="1"/>
  <c r="G28" i="11"/>
  <c r="G81" i="11"/>
  <c r="G86" i="11"/>
  <c r="G122" i="11"/>
  <c r="G128" i="11"/>
  <c r="F235" i="11"/>
  <c r="F234" i="11" s="1"/>
  <c r="F164" i="11"/>
  <c r="F163" i="11"/>
  <c r="F161" i="11"/>
  <c r="F142" i="11"/>
  <c r="F141" i="11" s="1"/>
  <c r="F121" i="11"/>
  <c r="F90" i="11"/>
  <c r="F66" i="11"/>
  <c r="F43" i="11"/>
  <c r="F40" i="11"/>
  <c r="F39" i="11" s="1"/>
  <c r="F10" i="11"/>
  <c r="E40" i="11"/>
  <c r="E39" i="11" s="1"/>
  <c r="AB434" i="9"/>
  <c r="AB573" i="9"/>
  <c r="AB574" i="9"/>
  <c r="AB175" i="9"/>
  <c r="AB195" i="9"/>
  <c r="G39" i="11" l="1"/>
  <c r="G40" i="11"/>
  <c r="AA507" i="9" l="1"/>
  <c r="AA480" i="9"/>
  <c r="AA56" i="9"/>
  <c r="AA138" i="9"/>
  <c r="AA159" i="9"/>
  <c r="AA158" i="9" s="1"/>
  <c r="F216" i="11" s="1"/>
  <c r="F215" i="11" s="1"/>
  <c r="AA161" i="9"/>
  <c r="AA154" i="9"/>
  <c r="AA119" i="9"/>
  <c r="Z99" i="9"/>
  <c r="AB99" i="9" s="1"/>
  <c r="AA569" i="9"/>
  <c r="J179" i="9"/>
  <c r="L179" i="9"/>
  <c r="N179" i="9"/>
  <c r="P179" i="9"/>
  <c r="R179" i="9"/>
  <c r="T179" i="9"/>
  <c r="U179" i="9"/>
  <c r="W179" i="9"/>
  <c r="Y179" i="9"/>
  <c r="Z194" i="9"/>
  <c r="AA194" i="9"/>
  <c r="AA384" i="9"/>
  <c r="AA383" i="9"/>
  <c r="AA386" i="9"/>
  <c r="AA380" i="9"/>
  <c r="AA584" i="9"/>
  <c r="AA578" i="9"/>
  <c r="F101" i="11" s="1"/>
  <c r="AA568" i="9"/>
  <c r="AA565" i="9"/>
  <c r="AA560" i="9"/>
  <c r="F182" i="11" s="1"/>
  <c r="AA554" i="9"/>
  <c r="F140" i="11" s="1"/>
  <c r="AA551" i="9"/>
  <c r="F114" i="11" s="1"/>
  <c r="AA549" i="9"/>
  <c r="F113" i="11" s="1"/>
  <c r="AA547" i="9"/>
  <c r="F107" i="11" s="1"/>
  <c r="AA542" i="9"/>
  <c r="F99" i="11" s="1"/>
  <c r="AA537" i="9"/>
  <c r="F94" i="11" s="1"/>
  <c r="AA535" i="9"/>
  <c r="F93" i="11" s="1"/>
  <c r="AA533" i="9"/>
  <c r="AA531" i="9"/>
  <c r="F91" i="11" s="1"/>
  <c r="AA529" i="9"/>
  <c r="AA525" i="9"/>
  <c r="F87" i="11" s="1"/>
  <c r="AA511" i="9"/>
  <c r="F78" i="11" s="1"/>
  <c r="F77" i="11" s="1"/>
  <c r="AA506" i="9"/>
  <c r="F75" i="11" s="1"/>
  <c r="AA501" i="9"/>
  <c r="F74" i="11" s="1"/>
  <c r="AA498" i="9"/>
  <c r="AA496" i="9"/>
  <c r="F72" i="11" s="1"/>
  <c r="AA493" i="9"/>
  <c r="F68" i="11" s="1"/>
  <c r="AA491" i="9"/>
  <c r="AA487" i="9"/>
  <c r="AA484" i="9"/>
  <c r="F63" i="11" s="1"/>
  <c r="AA481" i="9"/>
  <c r="F62" i="11" s="1"/>
  <c r="AA478" i="9"/>
  <c r="F61" i="11" s="1"/>
  <c r="AA475" i="9"/>
  <c r="F57" i="11" s="1"/>
  <c r="AA473" i="9"/>
  <c r="F56" i="11" s="1"/>
  <c r="AA471" i="9"/>
  <c r="F55" i="11" s="1"/>
  <c r="F54" i="11" s="1"/>
  <c r="AA461" i="9"/>
  <c r="F172" i="11" s="1"/>
  <c r="F171" i="11" s="1"/>
  <c r="AA456" i="9"/>
  <c r="AA452" i="9"/>
  <c r="F178" i="11" s="1"/>
  <c r="AA446" i="9"/>
  <c r="AA443" i="9"/>
  <c r="F173" i="11" s="1"/>
  <c r="AA441" i="9"/>
  <c r="F169" i="11" s="1"/>
  <c r="AA439" i="9"/>
  <c r="F170" i="11" s="1"/>
  <c r="AA437" i="9"/>
  <c r="F168" i="11" s="1"/>
  <c r="AA433" i="9"/>
  <c r="AA429" i="9"/>
  <c r="F205" i="11" s="1"/>
  <c r="AA425" i="9"/>
  <c r="AA417" i="9"/>
  <c r="AA412" i="9"/>
  <c r="F212" i="11" s="1"/>
  <c r="AA408" i="9"/>
  <c r="F211" i="11" s="1"/>
  <c r="AA404" i="9"/>
  <c r="F210" i="11" s="1"/>
  <c r="AA399" i="9"/>
  <c r="F209" i="11" s="1"/>
  <c r="F208" i="11" s="1"/>
  <c r="AA396" i="9"/>
  <c r="F203" i="11" s="1"/>
  <c r="AA393" i="9"/>
  <c r="F201" i="11" s="1"/>
  <c r="AA391" i="9"/>
  <c r="F200" i="11" s="1"/>
  <c r="AA389" i="9"/>
  <c r="F199" i="11" s="1"/>
  <c r="AA387" i="9"/>
  <c r="F198" i="11" s="1"/>
  <c r="AA385" i="9"/>
  <c r="F197" i="11" s="1"/>
  <c r="AA381" i="9"/>
  <c r="F194" i="11" s="1"/>
  <c r="AA379" i="9"/>
  <c r="F193" i="11" s="1"/>
  <c r="AA369" i="9"/>
  <c r="F185" i="11" s="1"/>
  <c r="AA367" i="9"/>
  <c r="AA363" i="9"/>
  <c r="AA361" i="9"/>
  <c r="AA359" i="9"/>
  <c r="AA356" i="9"/>
  <c r="F52" i="11" s="1"/>
  <c r="F51" i="11" s="1"/>
  <c r="AA351" i="9"/>
  <c r="F241" i="11" s="1"/>
  <c r="AA349" i="9"/>
  <c r="F240" i="11" s="1"/>
  <c r="F239" i="11" s="1"/>
  <c r="AA347" i="9"/>
  <c r="F238" i="11" s="1"/>
  <c r="F237" i="11" s="1"/>
  <c r="AA344" i="9"/>
  <c r="AA342" i="9"/>
  <c r="F233" i="11" s="1"/>
  <c r="F232" i="11" s="1"/>
  <c r="F231" i="11" s="1"/>
  <c r="AA338" i="9"/>
  <c r="F229" i="11" s="1"/>
  <c r="F228" i="11" s="1"/>
  <c r="F227" i="11" s="1"/>
  <c r="AA334" i="9"/>
  <c r="F226" i="11" s="1"/>
  <c r="F225" i="11" s="1"/>
  <c r="AA332" i="9"/>
  <c r="F224" i="11" s="1"/>
  <c r="F223" i="11" s="1"/>
  <c r="F221" i="11" s="1"/>
  <c r="F220" i="11" s="1"/>
  <c r="AA330" i="9"/>
  <c r="F222" i="11" s="1"/>
  <c r="AA326" i="9"/>
  <c r="F218" i="11" s="1"/>
  <c r="AA322" i="9"/>
  <c r="AA317" i="9"/>
  <c r="F191" i="11" s="1"/>
  <c r="F190" i="11" s="1"/>
  <c r="F189" i="11" s="1"/>
  <c r="AA313" i="9"/>
  <c r="AA311" i="9"/>
  <c r="AA307" i="9"/>
  <c r="F162" i="11" s="1"/>
  <c r="AA302" i="9"/>
  <c r="F154" i="11" s="1"/>
  <c r="AA299" i="9"/>
  <c r="F153" i="11" s="1"/>
  <c r="AA297" i="9"/>
  <c r="AA293" i="9"/>
  <c r="F151" i="11" s="1"/>
  <c r="AA288" i="9"/>
  <c r="F145" i="11" s="1"/>
  <c r="F144" i="11" s="1"/>
  <c r="F143" i="11" s="1"/>
  <c r="AA285" i="9"/>
  <c r="F139" i="11" s="1"/>
  <c r="AA283" i="9"/>
  <c r="F137" i="11" s="1"/>
  <c r="AA280" i="9"/>
  <c r="F136" i="11" s="1"/>
  <c r="AA278" i="9"/>
  <c r="F135" i="11" s="1"/>
  <c r="AA276" i="9"/>
  <c r="F134" i="11" s="1"/>
  <c r="AA274" i="9"/>
  <c r="F133" i="11" s="1"/>
  <c r="AA271" i="9"/>
  <c r="F132" i="11" s="1"/>
  <c r="AA268" i="9"/>
  <c r="F130" i="11" s="1"/>
  <c r="AA265" i="9"/>
  <c r="F129" i="11" s="1"/>
  <c r="AA263" i="9"/>
  <c r="F127" i="11" s="1"/>
  <c r="F126" i="11" s="1"/>
  <c r="AA260" i="9"/>
  <c r="AA257" i="9"/>
  <c r="F123" i="11" s="1"/>
  <c r="AA247" i="9"/>
  <c r="AA244" i="9"/>
  <c r="AA241" i="9"/>
  <c r="F118" i="11" s="1"/>
  <c r="AA239" i="9"/>
  <c r="F116" i="11" s="1"/>
  <c r="AA236" i="9"/>
  <c r="F112" i="11" s="1"/>
  <c r="AA233" i="9"/>
  <c r="F111" i="11" s="1"/>
  <c r="AA230" i="9"/>
  <c r="AA227" i="9"/>
  <c r="AA224" i="9"/>
  <c r="F109" i="11" s="1"/>
  <c r="AA221" i="9"/>
  <c r="F108" i="11" s="1"/>
  <c r="AA218" i="9"/>
  <c r="F106" i="11" s="1"/>
  <c r="AA216" i="9"/>
  <c r="F105" i="11" s="1"/>
  <c r="AA212" i="9"/>
  <c r="F98" i="11" s="1"/>
  <c r="AA210" i="9"/>
  <c r="F97" i="11" s="1"/>
  <c r="AA207" i="9"/>
  <c r="F88" i="11" s="1"/>
  <c r="AA203" i="9"/>
  <c r="F59" i="11" s="1"/>
  <c r="AA200" i="9"/>
  <c r="AA192" i="9"/>
  <c r="AA189" i="9"/>
  <c r="AA185" i="9"/>
  <c r="AA182" i="9"/>
  <c r="AA176" i="9"/>
  <c r="F14" i="11" s="1"/>
  <c r="AA172" i="9"/>
  <c r="AA169" i="9"/>
  <c r="AA168" i="9" s="1"/>
  <c r="F13" i="11" s="1"/>
  <c r="F12" i="11" s="1"/>
  <c r="AA163" i="9"/>
  <c r="AA160" i="9"/>
  <c r="F217" i="11" s="1"/>
  <c r="AA153" i="9"/>
  <c r="F207" i="11" s="1"/>
  <c r="AA148" i="9"/>
  <c r="F206" i="11" s="1"/>
  <c r="AA145" i="9"/>
  <c r="F196" i="11" s="1"/>
  <c r="F195" i="11" s="1"/>
  <c r="F192" i="11" s="1"/>
  <c r="AA141" i="9"/>
  <c r="F179" i="11" s="1"/>
  <c r="AA139" i="9"/>
  <c r="F176" i="11" s="1"/>
  <c r="AA137" i="9"/>
  <c r="F175" i="11" s="1"/>
  <c r="AA133" i="9"/>
  <c r="F165" i="11" s="1"/>
  <c r="AA130" i="9"/>
  <c r="AA127" i="9"/>
  <c r="F160" i="11" s="1"/>
  <c r="AA125" i="9"/>
  <c r="F159" i="11" s="1"/>
  <c r="F158" i="11" s="1"/>
  <c r="AA120" i="9"/>
  <c r="F149" i="11" s="1"/>
  <c r="AA118" i="9"/>
  <c r="F148" i="11" s="1"/>
  <c r="AA115" i="9"/>
  <c r="F117" i="11" s="1"/>
  <c r="AA112" i="9"/>
  <c r="AA106" i="9"/>
  <c r="F102" i="11" s="1"/>
  <c r="AA103" i="9"/>
  <c r="AA101" i="9"/>
  <c r="F96" i="11" s="1"/>
  <c r="AA98" i="9"/>
  <c r="AA94" i="9"/>
  <c r="AA90" i="9"/>
  <c r="F84" i="11" s="1"/>
  <c r="F83" i="11" s="1"/>
  <c r="AA86" i="9"/>
  <c r="F80" i="11" s="1"/>
  <c r="AA84" i="9"/>
  <c r="F79" i="11" s="1"/>
  <c r="AA80" i="9"/>
  <c r="AA77" i="9"/>
  <c r="AA75" i="9"/>
  <c r="F65" i="11" s="1"/>
  <c r="AA71" i="9"/>
  <c r="F49" i="11" s="1"/>
  <c r="F48" i="11" s="1"/>
  <c r="F47" i="11" s="1"/>
  <c r="AA66" i="9"/>
  <c r="AA63" i="9"/>
  <c r="AA58" i="9"/>
  <c r="F42" i="11" s="1"/>
  <c r="F41" i="11" s="1"/>
  <c r="AA54" i="9"/>
  <c r="F35" i="11" s="1"/>
  <c r="AA52" i="9"/>
  <c r="AA50" i="9"/>
  <c r="AA48" i="9"/>
  <c r="AA47" i="9"/>
  <c r="AA45" i="9"/>
  <c r="F32" i="11" s="1"/>
  <c r="AA42" i="9"/>
  <c r="AA39" i="9"/>
  <c r="AA35" i="9"/>
  <c r="F25" i="11" s="1"/>
  <c r="F24" i="11" s="1"/>
  <c r="F23" i="11" s="1"/>
  <c r="AA32" i="9"/>
  <c r="F20" i="11" s="1"/>
  <c r="F19" i="11" s="1"/>
  <c r="AA28" i="9"/>
  <c r="AA25" i="9"/>
  <c r="AA20" i="9"/>
  <c r="AA17" i="9"/>
  <c r="Z217" i="9"/>
  <c r="AB217" i="9" s="1"/>
  <c r="F152" i="11" l="1"/>
  <c r="F184" i="11"/>
  <c r="F183" i="11" s="1"/>
  <c r="F181" i="11" s="1"/>
  <c r="F180" i="11" s="1"/>
  <c r="F204" i="11"/>
  <c r="F202" i="11" s="1"/>
  <c r="F71" i="11"/>
  <c r="F70" i="11" s="1"/>
  <c r="F95" i="11"/>
  <c r="F100" i="11"/>
  <c r="F36" i="11"/>
  <c r="Z98" i="9"/>
  <c r="AB98" i="9" s="1"/>
  <c r="F33" i="11"/>
  <c r="F147" i="11"/>
  <c r="F146" i="11" s="1"/>
  <c r="F174" i="11"/>
  <c r="F34" i="11"/>
  <c r="F60" i="11"/>
  <c r="F58" i="11" s="1"/>
  <c r="F53" i="11" s="1"/>
  <c r="F131" i="11"/>
  <c r="F138" i="11"/>
  <c r="F150" i="11"/>
  <c r="F230" i="11"/>
  <c r="F236" i="11"/>
  <c r="F69" i="11"/>
  <c r="F67" i="11" s="1"/>
  <c r="F64" i="11" s="1"/>
  <c r="F73" i="11"/>
  <c r="F76" i="11"/>
  <c r="F89" i="11"/>
  <c r="F92" i="11"/>
  <c r="F85" i="11" s="1"/>
  <c r="AB194" i="9"/>
  <c r="AA70" i="9"/>
  <c r="AA89" i="9"/>
  <c r="AA111" i="9"/>
  <c r="AA162" i="9"/>
  <c r="AA199" i="9"/>
  <c r="AA198" i="9" s="1"/>
  <c r="AA206" i="9"/>
  <c r="AA259" i="9"/>
  <c r="F125" i="11" s="1"/>
  <c r="F124" i="11" s="1"/>
  <c r="AA321" i="9"/>
  <c r="F219" i="11" s="1"/>
  <c r="F214" i="11" s="1"/>
  <c r="F213" i="11" s="1"/>
  <c r="AA341" i="9"/>
  <c r="AA416" i="9"/>
  <c r="AA428" i="9"/>
  <c r="AA445" i="9"/>
  <c r="F177" i="11" s="1"/>
  <c r="AA455" i="9"/>
  <c r="AA541" i="9"/>
  <c r="AA553" i="9"/>
  <c r="AA564" i="9"/>
  <c r="AA577" i="9"/>
  <c r="AA27" i="9"/>
  <c r="F18" i="11" s="1"/>
  <c r="AA34" i="9"/>
  <c r="AA24" i="9"/>
  <c r="F17" i="11" s="1"/>
  <c r="AA31" i="9"/>
  <c r="AA105" i="9"/>
  <c r="AA114" i="9"/>
  <c r="AA144" i="9"/>
  <c r="AA226" i="9"/>
  <c r="F110" i="11" s="1"/>
  <c r="F104" i="11" s="1"/>
  <c r="AA287" i="9"/>
  <c r="AA316" i="9"/>
  <c r="AA325" i="9"/>
  <c r="AA337" i="9"/>
  <c r="AA355" i="9"/>
  <c r="AA395" i="9"/>
  <c r="AA424" i="9"/>
  <c r="AA432" i="9"/>
  <c r="AA460" i="9"/>
  <c r="AA510" i="9"/>
  <c r="AA559" i="9"/>
  <c r="AA567" i="9"/>
  <c r="AA583" i="9"/>
  <c r="Z216" i="9"/>
  <c r="E105" i="11" s="1"/>
  <c r="G105" i="11" s="1"/>
  <c r="AB216" i="9"/>
  <c r="AA62" i="9"/>
  <c r="F46" i="11" s="1"/>
  <c r="F45" i="11" s="1"/>
  <c r="F44" i="11" s="1"/>
  <c r="AA366" i="9"/>
  <c r="AA546" i="9"/>
  <c r="AA524" i="9"/>
  <c r="AA500" i="9"/>
  <c r="AA495" i="9"/>
  <c r="AA490" i="9"/>
  <c r="AA477" i="9"/>
  <c r="AA470" i="9"/>
  <c r="AA436" i="9"/>
  <c r="AA398" i="9"/>
  <c r="AA378" i="9"/>
  <c r="AA358" i="9"/>
  <c r="AA346" i="9"/>
  <c r="AA329" i="9"/>
  <c r="AA310" i="9"/>
  <c r="AA292" i="9"/>
  <c r="AA243" i="9"/>
  <c r="F120" i="11" s="1"/>
  <c r="F119" i="11" s="1"/>
  <c r="F115" i="11" s="1"/>
  <c r="AA220" i="9"/>
  <c r="AA209" i="9"/>
  <c r="AA181" i="9"/>
  <c r="F22" i="11" s="1"/>
  <c r="AA167" i="9"/>
  <c r="AA157" i="9"/>
  <c r="AA147" i="9"/>
  <c r="AA136" i="9"/>
  <c r="AA124" i="9"/>
  <c r="AA117" i="9"/>
  <c r="AA100" i="9"/>
  <c r="AA93" i="9"/>
  <c r="AA83" i="9"/>
  <c r="AA74" i="9"/>
  <c r="AA38" i="9"/>
  <c r="F31" i="11" s="1"/>
  <c r="F30" i="11" s="1"/>
  <c r="AA16" i="9"/>
  <c r="F16" i="11" s="1"/>
  <c r="F15" i="11" s="1"/>
  <c r="Z466" i="9"/>
  <c r="AB466" i="9" s="1"/>
  <c r="Z465" i="9"/>
  <c r="AB465" i="9" s="1"/>
  <c r="Z370" i="9"/>
  <c r="AB370" i="9" s="1"/>
  <c r="F21" i="11" l="1"/>
  <c r="F50" i="11"/>
  <c r="F167" i="11"/>
  <c r="F166" i="11" s="1"/>
  <c r="F82" i="11"/>
  <c r="AA37" i="9"/>
  <c r="AA143" i="9"/>
  <c r="AA166" i="9"/>
  <c r="AA215" i="9"/>
  <c r="AA340" i="9"/>
  <c r="AA523" i="9"/>
  <c r="AA365" i="9"/>
  <c r="AA582" i="9"/>
  <c r="AA558" i="9"/>
  <c r="AA509" i="9"/>
  <c r="AA459" i="9"/>
  <c r="AA354" i="9"/>
  <c r="AA336" i="9"/>
  <c r="AA315" i="9"/>
  <c r="Z369" i="9"/>
  <c r="AA15" i="9"/>
  <c r="AA135" i="9"/>
  <c r="AA156" i="9"/>
  <c r="AA180" i="9"/>
  <c r="AA205" i="9"/>
  <c r="AA238" i="9"/>
  <c r="AA309" i="9"/>
  <c r="AA328" i="9"/>
  <c r="AA435" i="9"/>
  <c r="AA545" i="9"/>
  <c r="AA61" i="9"/>
  <c r="AA576" i="9"/>
  <c r="AA563" i="9"/>
  <c r="AA427" i="9"/>
  <c r="AA415" i="9"/>
  <c r="AA320" i="9"/>
  <c r="AA69" i="9"/>
  <c r="AA486" i="9"/>
  <c r="AA469" i="9"/>
  <c r="AA110" i="9"/>
  <c r="AA88" i="9"/>
  <c r="AA73" i="9"/>
  <c r="Z81" i="9"/>
  <c r="AB81" i="9" s="1"/>
  <c r="Z433" i="9"/>
  <c r="Y586" i="9"/>
  <c r="AA179" i="9" l="1"/>
  <c r="AB369" i="9"/>
  <c r="E185" i="11"/>
  <c r="G185" i="11" s="1"/>
  <c r="AA458" i="9"/>
  <c r="AA165" i="9"/>
  <c r="Z432" i="9"/>
  <c r="AB432" i="9" s="1"/>
  <c r="AB433" i="9"/>
  <c r="AA319" i="9"/>
  <c r="AA414" i="9"/>
  <c r="AA562" i="9"/>
  <c r="F38" i="11" s="1"/>
  <c r="F37" i="11" s="1"/>
  <c r="F29" i="11" s="1"/>
  <c r="F9" i="11" s="1"/>
  <c r="AA575" i="9"/>
  <c r="AA60" i="9"/>
  <c r="AA431" i="9"/>
  <c r="AA14" i="9"/>
  <c r="AA468" i="9"/>
  <c r="X566" i="9"/>
  <c r="X561" i="9"/>
  <c r="Z561" i="9" s="1"/>
  <c r="W352" i="9"/>
  <c r="W552" i="9"/>
  <c r="X548" i="9"/>
  <c r="Z548" i="9" s="1"/>
  <c r="AB548" i="9" s="1"/>
  <c r="X457" i="9"/>
  <c r="Z457" i="9" s="1"/>
  <c r="X453" i="9"/>
  <c r="X451" i="9"/>
  <c r="Z451" i="9" s="1"/>
  <c r="AB451" i="9" s="1"/>
  <c r="X450" i="9"/>
  <c r="Z450" i="9" s="1"/>
  <c r="AB450" i="9" s="1"/>
  <c r="X442" i="9"/>
  <c r="X433" i="9"/>
  <c r="X432" i="9" s="1"/>
  <c r="X426" i="9"/>
  <c r="X419" i="9"/>
  <c r="Z419" i="9" s="1"/>
  <c r="AB419" i="9" s="1"/>
  <c r="X327" i="9"/>
  <c r="U586" i="9"/>
  <c r="X275" i="9"/>
  <c r="X258" i="9"/>
  <c r="X242" i="9"/>
  <c r="X219" i="9"/>
  <c r="X204" i="9"/>
  <c r="X164" i="9"/>
  <c r="W151" i="9"/>
  <c r="X108" i="9"/>
  <c r="Z108" i="9" s="1"/>
  <c r="AB108" i="9" s="1"/>
  <c r="X87" i="9"/>
  <c r="X85" i="9"/>
  <c r="X46" i="9"/>
  <c r="R174" i="9"/>
  <c r="R229" i="9"/>
  <c r="R249" i="9"/>
  <c r="R246" i="9"/>
  <c r="T246" i="9"/>
  <c r="R232" i="9"/>
  <c r="T232" i="9"/>
  <c r="T515" i="9"/>
  <c r="T512" i="9"/>
  <c r="T249" i="9"/>
  <c r="Q590" i="9"/>
  <c r="S97" i="9"/>
  <c r="S96" i="9" s="1"/>
  <c r="Q594" i="9"/>
  <c r="Q592" i="9"/>
  <c r="Q591" i="9"/>
  <c r="S485" i="9"/>
  <c r="S484" i="9" s="1"/>
  <c r="X456" i="9" l="1"/>
  <c r="X455" i="9" s="1"/>
  <c r="Z456" i="9"/>
  <c r="AB457" i="9"/>
  <c r="AA467" i="9"/>
  <c r="AA454" i="9"/>
  <c r="Z560" i="9"/>
  <c r="AB561" i="9"/>
  <c r="AA13" i="9"/>
  <c r="X84" i="9"/>
  <c r="Z85" i="9"/>
  <c r="X163" i="9"/>
  <c r="Z164" i="9"/>
  <c r="X218" i="9"/>
  <c r="Z219" i="9"/>
  <c r="X257" i="9"/>
  <c r="Z258" i="9"/>
  <c r="X452" i="9"/>
  <c r="Z453" i="9"/>
  <c r="X565" i="9"/>
  <c r="X564" i="9" s="1"/>
  <c r="X563" i="9" s="1"/>
  <c r="Z566" i="9"/>
  <c r="X45" i="9"/>
  <c r="Z46" i="9"/>
  <c r="X86" i="9"/>
  <c r="Z87" i="9"/>
  <c r="X203" i="9"/>
  <c r="Z204" i="9"/>
  <c r="X241" i="9"/>
  <c r="Z242" i="9"/>
  <c r="X274" i="9"/>
  <c r="Z275" i="9"/>
  <c r="X326" i="9"/>
  <c r="Z327" i="9"/>
  <c r="X425" i="9"/>
  <c r="X424" i="9" s="1"/>
  <c r="Z426" i="9"/>
  <c r="X441" i="9"/>
  <c r="Z442" i="9"/>
  <c r="X547" i="9"/>
  <c r="Z547" i="9"/>
  <c r="X560" i="9"/>
  <c r="V97" i="9"/>
  <c r="V485" i="9"/>
  <c r="X83" i="9"/>
  <c r="W586" i="9"/>
  <c r="Q593" i="9"/>
  <c r="S528" i="9"/>
  <c r="V528" i="9" s="1"/>
  <c r="X528" i="9" s="1"/>
  <c r="Z528" i="9" s="1"/>
  <c r="AB528" i="9" s="1"/>
  <c r="S527" i="9"/>
  <c r="V527" i="9" s="1"/>
  <c r="X527" i="9" s="1"/>
  <c r="Z527" i="9" s="1"/>
  <c r="AB527" i="9" s="1"/>
  <c r="S526" i="9"/>
  <c r="V526" i="9" s="1"/>
  <c r="S489" i="9"/>
  <c r="V489" i="9" s="1"/>
  <c r="S482" i="9"/>
  <c r="V482" i="9" s="1"/>
  <c r="X482" i="9" s="1"/>
  <c r="Z482" i="9" s="1"/>
  <c r="AB482" i="9" s="1"/>
  <c r="S440" i="9"/>
  <c r="S438" i="9"/>
  <c r="S386" i="9"/>
  <c r="S382" i="9"/>
  <c r="S388" i="9"/>
  <c r="S237" i="9"/>
  <c r="S303" i="9"/>
  <c r="S286" i="9"/>
  <c r="S225" i="9"/>
  <c r="S161" i="9"/>
  <c r="S140" i="9"/>
  <c r="E107" i="11" l="1"/>
  <c r="G107" i="11" s="1"/>
  <c r="AB547" i="9"/>
  <c r="Z441" i="9"/>
  <c r="AB442" i="9"/>
  <c r="Z425" i="9"/>
  <c r="AB426" i="9"/>
  <c r="Z326" i="9"/>
  <c r="AB327" i="9"/>
  <c r="Z274" i="9"/>
  <c r="AB275" i="9"/>
  <c r="Z241" i="9"/>
  <c r="AB242" i="9"/>
  <c r="Z203" i="9"/>
  <c r="AB204" i="9"/>
  <c r="Z86" i="9"/>
  <c r="AB87" i="9"/>
  <c r="Z45" i="9"/>
  <c r="AB46" i="9"/>
  <c r="Z565" i="9"/>
  <c r="AB566" i="9"/>
  <c r="Z452" i="9"/>
  <c r="AB453" i="9"/>
  <c r="Z257" i="9"/>
  <c r="AB258" i="9"/>
  <c r="Z218" i="9"/>
  <c r="AB219" i="9"/>
  <c r="Z163" i="9"/>
  <c r="AB164" i="9"/>
  <c r="Z84" i="9"/>
  <c r="AB85" i="9"/>
  <c r="AA12" i="9"/>
  <c r="Z455" i="9"/>
  <c r="AB455" i="9" s="1"/>
  <c r="AB456" i="9"/>
  <c r="Z559" i="9"/>
  <c r="AB560" i="9"/>
  <c r="E182" i="11"/>
  <c r="G182" i="11" s="1"/>
  <c r="X559" i="9"/>
  <c r="X558" i="9" s="1"/>
  <c r="X325" i="9"/>
  <c r="Z83" i="9"/>
  <c r="AB83" i="9" s="1"/>
  <c r="S160" i="9"/>
  <c r="V161" i="9"/>
  <c r="S236" i="9"/>
  <c r="V237" i="9"/>
  <c r="S437" i="9"/>
  <c r="V438" i="9"/>
  <c r="X97" i="9"/>
  <c r="V96" i="9"/>
  <c r="S525" i="9"/>
  <c r="S285" i="9"/>
  <c r="V286" i="9"/>
  <c r="S381" i="9"/>
  <c r="V382" i="9"/>
  <c r="S139" i="9"/>
  <c r="V140" i="9"/>
  <c r="S224" i="9"/>
  <c r="V225" i="9"/>
  <c r="S302" i="9"/>
  <c r="V303" i="9"/>
  <c r="S387" i="9"/>
  <c r="V388" i="9"/>
  <c r="S385" i="9"/>
  <c r="V386" i="9"/>
  <c r="S439" i="9"/>
  <c r="V440" i="9"/>
  <c r="X489" i="9"/>
  <c r="X526" i="9"/>
  <c r="Z526" i="9" s="1"/>
  <c r="AB526" i="9" s="1"/>
  <c r="V525" i="9"/>
  <c r="X485" i="9"/>
  <c r="V484" i="9"/>
  <c r="S121" i="9"/>
  <c r="S26" i="9"/>
  <c r="Z558" i="9" l="1"/>
  <c r="AB558" i="9" s="1"/>
  <c r="AB559" i="9"/>
  <c r="AB84" i="9"/>
  <c r="E79" i="11"/>
  <c r="G79" i="11" s="1"/>
  <c r="AB163" i="9"/>
  <c r="Z162" i="9"/>
  <c r="AB162" i="9" s="1"/>
  <c r="AB218" i="9"/>
  <c r="E106" i="11"/>
  <c r="G106" i="11" s="1"/>
  <c r="E123" i="11"/>
  <c r="G123" i="11" s="1"/>
  <c r="AB257" i="9"/>
  <c r="AB452" i="9"/>
  <c r="E178" i="11"/>
  <c r="G178" i="11" s="1"/>
  <c r="Z564" i="9"/>
  <c r="AB565" i="9"/>
  <c r="AB45" i="9"/>
  <c r="E32" i="11"/>
  <c r="G32" i="11" s="1"/>
  <c r="E80" i="11"/>
  <c r="G80" i="11" s="1"/>
  <c r="AB86" i="9"/>
  <c r="AB203" i="9"/>
  <c r="E59" i="11"/>
  <c r="G59" i="11" s="1"/>
  <c r="AB241" i="9"/>
  <c r="E118" i="11"/>
  <c r="G118" i="11" s="1"/>
  <c r="AB274" i="9"/>
  <c r="E133" i="11"/>
  <c r="G133" i="11" s="1"/>
  <c r="Z325" i="9"/>
  <c r="AB325" i="9" s="1"/>
  <c r="AB326" i="9"/>
  <c r="E218" i="11"/>
  <c r="G218" i="11" s="1"/>
  <c r="Z424" i="9"/>
  <c r="AB424" i="9" s="1"/>
  <c r="AB425" i="9"/>
  <c r="E169" i="11"/>
  <c r="G169" i="11" s="1"/>
  <c r="AB441" i="9"/>
  <c r="Z489" i="9"/>
  <c r="X484" i="9"/>
  <c r="Z485" i="9"/>
  <c r="X525" i="9"/>
  <c r="Z525" i="9"/>
  <c r="X96" i="9"/>
  <c r="Z97" i="9"/>
  <c r="S25" i="9"/>
  <c r="S24" i="9" s="1"/>
  <c r="V26" i="9"/>
  <c r="X440" i="9"/>
  <c r="V439" i="9"/>
  <c r="X386" i="9"/>
  <c r="V385" i="9"/>
  <c r="X388" i="9"/>
  <c r="V387" i="9"/>
  <c r="X303" i="9"/>
  <c r="V302" i="9"/>
  <c r="X225" i="9"/>
  <c r="Z225" i="9" s="1"/>
  <c r="AB225" i="9" s="1"/>
  <c r="V224" i="9"/>
  <c r="X140" i="9"/>
  <c r="Z140" i="9" s="1"/>
  <c r="AB140" i="9" s="1"/>
  <c r="V139" i="9"/>
  <c r="X382" i="9"/>
  <c r="V381" i="9"/>
  <c r="X286" i="9"/>
  <c r="V285" i="9"/>
  <c r="S120" i="9"/>
  <c r="V121" i="9"/>
  <c r="X438" i="9"/>
  <c r="V437" i="9"/>
  <c r="X237" i="9"/>
  <c r="V236" i="9"/>
  <c r="X161" i="9"/>
  <c r="V160" i="9"/>
  <c r="R586" i="9"/>
  <c r="Z96" i="9" l="1"/>
  <c r="AB97" i="9"/>
  <c r="E87" i="11"/>
  <c r="G87" i="11" s="1"/>
  <c r="AB525" i="9"/>
  <c r="Z484" i="9"/>
  <c r="AB485" i="9"/>
  <c r="AB489" i="9"/>
  <c r="E66" i="11"/>
  <c r="G66" i="11" s="1"/>
  <c r="Z563" i="9"/>
  <c r="AB563" i="9" s="1"/>
  <c r="AB564" i="9"/>
  <c r="X160" i="9"/>
  <c r="Z161" i="9"/>
  <c r="X437" i="9"/>
  <c r="Z438" i="9"/>
  <c r="X285" i="9"/>
  <c r="Z286" i="9"/>
  <c r="X139" i="9"/>
  <c r="Z139" i="9"/>
  <c r="X224" i="9"/>
  <c r="Z224" i="9"/>
  <c r="X302" i="9"/>
  <c r="Z303" i="9"/>
  <c r="X387" i="9"/>
  <c r="Z388" i="9"/>
  <c r="X385" i="9"/>
  <c r="Z386" i="9"/>
  <c r="X439" i="9"/>
  <c r="Z440" i="9"/>
  <c r="X236" i="9"/>
  <c r="Z237" i="9"/>
  <c r="X381" i="9"/>
  <c r="Z382" i="9"/>
  <c r="X121" i="9"/>
  <c r="V120" i="9"/>
  <c r="X26" i="9"/>
  <c r="V25" i="9"/>
  <c r="V24" i="9" s="1"/>
  <c r="Q92" i="9"/>
  <c r="S92" i="9" s="1"/>
  <c r="V92" i="9" s="1"/>
  <c r="X92" i="9" s="1"/>
  <c r="Z92" i="9" s="1"/>
  <c r="AB92" i="9" s="1"/>
  <c r="P586" i="9"/>
  <c r="Z381" i="9" l="1"/>
  <c r="AB382" i="9"/>
  <c r="Z236" i="9"/>
  <c r="AB237" i="9"/>
  <c r="Z439" i="9"/>
  <c r="AB440" i="9"/>
  <c r="Z385" i="9"/>
  <c r="AB386" i="9"/>
  <c r="Z387" i="9"/>
  <c r="AB388" i="9"/>
  <c r="Z302" i="9"/>
  <c r="AB303" i="9"/>
  <c r="E109" i="11"/>
  <c r="G109" i="11" s="1"/>
  <c r="AB224" i="9"/>
  <c r="E176" i="11"/>
  <c r="G176" i="11" s="1"/>
  <c r="AB139" i="9"/>
  <c r="Z285" i="9"/>
  <c r="AB286" i="9"/>
  <c r="Z437" i="9"/>
  <c r="AB438" i="9"/>
  <c r="Z160" i="9"/>
  <c r="AB161" i="9"/>
  <c r="E63" i="11"/>
  <c r="G63" i="11" s="1"/>
  <c r="AB484" i="9"/>
  <c r="AB96" i="9"/>
  <c r="E90" i="11"/>
  <c r="G90" i="11" s="1"/>
  <c r="X25" i="9"/>
  <c r="X24" i="9" s="1"/>
  <c r="Z26" i="9"/>
  <c r="X120" i="9"/>
  <c r="Z121" i="9"/>
  <c r="N339" i="9"/>
  <c r="N377" i="9"/>
  <c r="E217" i="11" l="1"/>
  <c r="G217" i="11" s="1"/>
  <c r="AB160" i="9"/>
  <c r="AB437" i="9"/>
  <c r="E168" i="11"/>
  <c r="G168" i="11" s="1"/>
  <c r="AB285" i="9"/>
  <c r="E139" i="11"/>
  <c r="G139" i="11" s="1"/>
  <c r="AB302" i="9"/>
  <c r="E154" i="11"/>
  <c r="G154" i="11" s="1"/>
  <c r="AB387" i="9"/>
  <c r="E198" i="11"/>
  <c r="G198" i="11" s="1"/>
  <c r="AB385" i="9"/>
  <c r="E197" i="11"/>
  <c r="G197" i="11" s="1"/>
  <c r="AB439" i="9"/>
  <c r="E170" i="11"/>
  <c r="G170" i="11" s="1"/>
  <c r="AB236" i="9"/>
  <c r="E112" i="11"/>
  <c r="G112" i="11" s="1"/>
  <c r="AB381" i="9"/>
  <c r="E194" i="11"/>
  <c r="G194" i="11" s="1"/>
  <c r="Z120" i="9"/>
  <c r="AB121" i="9"/>
  <c r="Z25" i="9"/>
  <c r="AB26" i="9"/>
  <c r="O505" i="9"/>
  <c r="Q505" i="9" s="1"/>
  <c r="S505" i="9" s="1"/>
  <c r="V505" i="9" s="1"/>
  <c r="X505" i="9" s="1"/>
  <c r="Z505" i="9" s="1"/>
  <c r="AB505" i="9" s="1"/>
  <c r="O504" i="9"/>
  <c r="Q504" i="9" s="1"/>
  <c r="S504" i="9" s="1"/>
  <c r="V504" i="9" s="1"/>
  <c r="X504" i="9" s="1"/>
  <c r="Z504" i="9" s="1"/>
  <c r="AB504" i="9" s="1"/>
  <c r="O503" i="9"/>
  <c r="Q503" i="9" s="1"/>
  <c r="S503" i="9" s="1"/>
  <c r="V503" i="9" s="1"/>
  <c r="X503" i="9" s="1"/>
  <c r="Z503" i="9" s="1"/>
  <c r="Z24" i="9" l="1"/>
  <c r="AB25" i="9"/>
  <c r="AB120" i="9"/>
  <c r="E149" i="11"/>
  <c r="G149" i="11" s="1"/>
  <c r="O502" i="9"/>
  <c r="N262" i="9"/>
  <c r="E17" i="11" l="1"/>
  <c r="G17" i="11" s="1"/>
  <c r="AB24" i="9"/>
  <c r="O501" i="9"/>
  <c r="Q502" i="9"/>
  <c r="N246" i="9"/>
  <c r="N249" i="9"/>
  <c r="N229" i="9"/>
  <c r="N232" i="9"/>
  <c r="S502" i="9" l="1"/>
  <c r="Q501" i="9"/>
  <c r="N21" i="9"/>
  <c r="S501" i="9" l="1"/>
  <c r="V502" i="9"/>
  <c r="N82" i="9"/>
  <c r="N499" i="9"/>
  <c r="X502" i="9" l="1"/>
  <c r="V501" i="9"/>
  <c r="O377" i="9"/>
  <c r="O104" i="9"/>
  <c r="O544" i="9"/>
  <c r="Q544" i="9" s="1"/>
  <c r="S544" i="9" s="1"/>
  <c r="V544" i="9" s="1"/>
  <c r="X544" i="9" s="1"/>
  <c r="Z544" i="9" s="1"/>
  <c r="O543" i="9"/>
  <c r="Q543" i="9" s="1"/>
  <c r="X501" i="9" l="1"/>
  <c r="Z502" i="9"/>
  <c r="Q542" i="9"/>
  <c r="S543" i="9"/>
  <c r="O103" i="9"/>
  <c r="Q104" i="9"/>
  <c r="O376" i="9"/>
  <c r="O375" i="9" s="1"/>
  <c r="Q377" i="9"/>
  <c r="O542" i="9"/>
  <c r="Z501" i="9" l="1"/>
  <c r="AB502" i="9"/>
  <c r="S542" i="9"/>
  <c r="S541" i="9" s="1"/>
  <c r="V543" i="9"/>
  <c r="Q541" i="9"/>
  <c r="Q103" i="9"/>
  <c r="S104" i="9"/>
  <c r="Q376" i="9"/>
  <c r="S377" i="9"/>
  <c r="O541" i="9"/>
  <c r="N57" i="9"/>
  <c r="AB501" i="9" l="1"/>
  <c r="E74" i="11"/>
  <c r="G74" i="11" s="1"/>
  <c r="S376" i="9"/>
  <c r="S375" i="9" s="1"/>
  <c r="V377" i="9"/>
  <c r="S103" i="9"/>
  <c r="V104" i="9"/>
  <c r="X543" i="9"/>
  <c r="V542" i="9"/>
  <c r="Q375" i="9"/>
  <c r="O516" i="9"/>
  <c r="Q516" i="9" s="1"/>
  <c r="S516" i="9" s="1"/>
  <c r="V516" i="9" s="1"/>
  <c r="X516" i="9" s="1"/>
  <c r="Z516" i="9" s="1"/>
  <c r="AB516" i="9" s="1"/>
  <c r="O364" i="9"/>
  <c r="O362" i="9"/>
  <c r="O360" i="9"/>
  <c r="O348" i="9"/>
  <c r="O335" i="9"/>
  <c r="O301" i="9"/>
  <c r="Q301" i="9" s="1"/>
  <c r="S301" i="9" s="1"/>
  <c r="V301" i="9" s="1"/>
  <c r="X301" i="9" s="1"/>
  <c r="Z301" i="9" s="1"/>
  <c r="AB301" i="9" s="1"/>
  <c r="O300" i="9"/>
  <c r="Q300" i="9" s="1"/>
  <c r="O298" i="9"/>
  <c r="O296" i="9"/>
  <c r="Q296" i="9" s="1"/>
  <c r="S296" i="9" s="1"/>
  <c r="V296" i="9" s="1"/>
  <c r="X296" i="9" s="1"/>
  <c r="Z296" i="9" s="1"/>
  <c r="AB296" i="9" s="1"/>
  <c r="O295" i="9"/>
  <c r="Q295" i="9" s="1"/>
  <c r="S295" i="9" s="1"/>
  <c r="V295" i="9" s="1"/>
  <c r="X295" i="9" s="1"/>
  <c r="Z295" i="9" s="1"/>
  <c r="AB295" i="9" s="1"/>
  <c r="O291" i="9"/>
  <c r="Q291" i="9" s="1"/>
  <c r="S291" i="9" s="1"/>
  <c r="V291" i="9" s="1"/>
  <c r="X291" i="9" s="1"/>
  <c r="Z291" i="9" s="1"/>
  <c r="AB291" i="9" s="1"/>
  <c r="O290" i="9"/>
  <c r="Q290" i="9" s="1"/>
  <c r="S290" i="9" s="1"/>
  <c r="V290" i="9" s="1"/>
  <c r="X290" i="9" s="1"/>
  <c r="Z290" i="9" s="1"/>
  <c r="AB290" i="9" s="1"/>
  <c r="O277" i="9"/>
  <c r="O188" i="9"/>
  <c r="Q188" i="9" s="1"/>
  <c r="S188" i="9" s="1"/>
  <c r="V188" i="9" s="1"/>
  <c r="X188" i="9" s="1"/>
  <c r="Z188" i="9" s="1"/>
  <c r="AB188" i="9" s="1"/>
  <c r="O78" i="9"/>
  <c r="Q78" i="9" s="1"/>
  <c r="X542" i="9" l="1"/>
  <c r="Z543" i="9"/>
  <c r="V541" i="9"/>
  <c r="X104" i="9"/>
  <c r="V103" i="9"/>
  <c r="X377" i="9"/>
  <c r="V376" i="9"/>
  <c r="S78" i="9"/>
  <c r="V78" i="9" s="1"/>
  <c r="X78" i="9" s="1"/>
  <c r="Z78" i="9" s="1"/>
  <c r="AB78" i="9" s="1"/>
  <c r="O276" i="9"/>
  <c r="Q277" i="9"/>
  <c r="Q299" i="9"/>
  <c r="S300" i="9"/>
  <c r="O334" i="9"/>
  <c r="Q335" i="9"/>
  <c r="O359" i="9"/>
  <c r="Q360" i="9"/>
  <c r="O363" i="9"/>
  <c r="Q364" i="9"/>
  <c r="O297" i="9"/>
  <c r="Q298" i="9"/>
  <c r="O347" i="9"/>
  <c r="Q348" i="9"/>
  <c r="O361" i="9"/>
  <c r="Q362" i="9"/>
  <c r="O299" i="9"/>
  <c r="N586" i="9"/>
  <c r="M352" i="9"/>
  <c r="L57" i="9"/>
  <c r="L193" i="9"/>
  <c r="L22" i="9"/>
  <c r="Z542" i="9" l="1"/>
  <c r="AB543" i="9"/>
  <c r="X541" i="9"/>
  <c r="X376" i="9"/>
  <c r="Z377" i="9"/>
  <c r="X103" i="9"/>
  <c r="Z104" i="9"/>
  <c r="S299" i="9"/>
  <c r="V300" i="9"/>
  <c r="V375" i="9"/>
  <c r="O358" i="9"/>
  <c r="S362" i="9"/>
  <c r="Q361" i="9"/>
  <c r="Q347" i="9"/>
  <c r="S348" i="9"/>
  <c r="Q297" i="9"/>
  <c r="S298" i="9"/>
  <c r="S364" i="9"/>
  <c r="Q363" i="9"/>
  <c r="S360" i="9"/>
  <c r="Q359" i="9"/>
  <c r="Q358" i="9" s="1"/>
  <c r="S335" i="9"/>
  <c r="Q334" i="9"/>
  <c r="Q276" i="9"/>
  <c r="S277" i="9"/>
  <c r="M351" i="9"/>
  <c r="O352" i="9"/>
  <c r="L384" i="9"/>
  <c r="M102" i="9"/>
  <c r="L201" i="9"/>
  <c r="Z103" i="9" l="1"/>
  <c r="AB103" i="9" s="1"/>
  <c r="AB104" i="9"/>
  <c r="Z376" i="9"/>
  <c r="AA377" i="9"/>
  <c r="Z541" i="9"/>
  <c r="AB541" i="9" s="1"/>
  <c r="AB542" i="9"/>
  <c r="X375" i="9"/>
  <c r="S276" i="9"/>
  <c r="V277" i="9"/>
  <c r="S297" i="9"/>
  <c r="V298" i="9"/>
  <c r="S347" i="9"/>
  <c r="V348" i="9"/>
  <c r="S334" i="9"/>
  <c r="V335" i="9"/>
  <c r="S359" i="9"/>
  <c r="V360" i="9"/>
  <c r="S363" i="9"/>
  <c r="V364" i="9"/>
  <c r="S361" i="9"/>
  <c r="V362" i="9"/>
  <c r="X300" i="9"/>
  <c r="V299" i="9"/>
  <c r="S358" i="9"/>
  <c r="O351" i="9"/>
  <c r="Q352" i="9"/>
  <c r="M101" i="9"/>
  <c r="M100" i="9" s="1"/>
  <c r="O102" i="9"/>
  <c r="M213" i="9"/>
  <c r="Z375" i="9" l="1"/>
  <c r="E188" i="11"/>
  <c r="AA376" i="9"/>
  <c r="F188" i="11" s="1"/>
  <c r="F187" i="11" s="1"/>
  <c r="F186" i="11" s="1"/>
  <c r="E99" i="11"/>
  <c r="G99" i="11" s="1"/>
  <c r="X299" i="9"/>
  <c r="Z300" i="9"/>
  <c r="X362" i="9"/>
  <c r="V361" i="9"/>
  <c r="X364" i="9"/>
  <c r="V363" i="9"/>
  <c r="X360" i="9"/>
  <c r="V359" i="9"/>
  <c r="V358" i="9" s="1"/>
  <c r="X335" i="9"/>
  <c r="V334" i="9"/>
  <c r="X348" i="9"/>
  <c r="V347" i="9"/>
  <c r="X298" i="9"/>
  <c r="V297" i="9"/>
  <c r="X277" i="9"/>
  <c r="V276" i="9"/>
  <c r="O101" i="9"/>
  <c r="Q102" i="9"/>
  <c r="Q351" i="9"/>
  <c r="S352" i="9"/>
  <c r="O100" i="9"/>
  <c r="M212" i="9"/>
  <c r="O213" i="9"/>
  <c r="M91" i="9"/>
  <c r="M390" i="9"/>
  <c r="M580" i="9"/>
  <c r="O580" i="9" s="1"/>
  <c r="Q580" i="9" s="1"/>
  <c r="S580" i="9" s="1"/>
  <c r="V580" i="9" s="1"/>
  <c r="X580" i="9" s="1"/>
  <c r="Z580" i="9" s="1"/>
  <c r="AB580" i="9" s="1"/>
  <c r="M555" i="9"/>
  <c r="M550" i="9"/>
  <c r="M534" i="9"/>
  <c r="M532" i="9"/>
  <c r="M499" i="9"/>
  <c r="L76" i="9"/>
  <c r="M76" i="9" s="1"/>
  <c r="L79" i="9"/>
  <c r="M492" i="9"/>
  <c r="M488" i="9"/>
  <c r="M497" i="9"/>
  <c r="M494" i="9"/>
  <c r="M483" i="9"/>
  <c r="M480" i="9"/>
  <c r="O480" i="9" s="1"/>
  <c r="Q480" i="9" s="1"/>
  <c r="S480" i="9" s="1"/>
  <c r="V480" i="9" s="1"/>
  <c r="X480" i="9" s="1"/>
  <c r="Z480" i="9" s="1"/>
  <c r="AB480" i="9" s="1"/>
  <c r="M479" i="9"/>
  <c r="O479" i="9" s="1"/>
  <c r="M476" i="9"/>
  <c r="M474" i="9"/>
  <c r="M472" i="9"/>
  <c r="M444" i="9"/>
  <c r="M331" i="9"/>
  <c r="M270" i="9"/>
  <c r="O270" i="9" s="1"/>
  <c r="Q270" i="9" s="1"/>
  <c r="S270" i="9" s="1"/>
  <c r="V270" i="9" s="1"/>
  <c r="X270" i="9" s="1"/>
  <c r="Z270" i="9" s="1"/>
  <c r="AB270" i="9" s="1"/>
  <c r="M269" i="9"/>
  <c r="O269" i="9" s="1"/>
  <c r="Q269" i="9" s="1"/>
  <c r="M267" i="9"/>
  <c r="O267" i="9" s="1"/>
  <c r="Q267" i="9" s="1"/>
  <c r="S267" i="9" s="1"/>
  <c r="V267" i="9" s="1"/>
  <c r="X267" i="9" s="1"/>
  <c r="Z267" i="9" s="1"/>
  <c r="AB267" i="9" s="1"/>
  <c r="M266" i="9"/>
  <c r="M223" i="9"/>
  <c r="O223" i="9" s="1"/>
  <c r="Q223" i="9" s="1"/>
  <c r="S223" i="9" s="1"/>
  <c r="V223" i="9" s="1"/>
  <c r="X223" i="9" s="1"/>
  <c r="Z223" i="9" s="1"/>
  <c r="AB223" i="9" s="1"/>
  <c r="M79" i="9"/>
  <c r="E187" i="11" l="1"/>
  <c r="G187" i="11" s="1"/>
  <c r="G188" i="11"/>
  <c r="Z299" i="9"/>
  <c r="AB300" i="9"/>
  <c r="AA375" i="9"/>
  <c r="X276" i="9"/>
  <c r="Z277" i="9"/>
  <c r="X297" i="9"/>
  <c r="Z298" i="9"/>
  <c r="X347" i="9"/>
  <c r="Z348" i="9"/>
  <c r="X334" i="9"/>
  <c r="Z335" i="9"/>
  <c r="X359" i="9"/>
  <c r="Z360" i="9"/>
  <c r="X363" i="9"/>
  <c r="Z364" i="9"/>
  <c r="X361" i="9"/>
  <c r="Z362" i="9"/>
  <c r="S351" i="9"/>
  <c r="V352" i="9"/>
  <c r="S269" i="9"/>
  <c r="Q268" i="9"/>
  <c r="O212" i="9"/>
  <c r="Q213" i="9"/>
  <c r="O478" i="9"/>
  <c r="Q479" i="9"/>
  <c r="Q101" i="9"/>
  <c r="S102" i="9"/>
  <c r="M443" i="9"/>
  <c r="O444" i="9"/>
  <c r="M473" i="9"/>
  <c r="O474" i="9"/>
  <c r="M481" i="9"/>
  <c r="O483" i="9"/>
  <c r="M496" i="9"/>
  <c r="O497" i="9"/>
  <c r="M491" i="9"/>
  <c r="O492" i="9"/>
  <c r="M75" i="9"/>
  <c r="O76" i="9"/>
  <c r="M531" i="9"/>
  <c r="O532" i="9"/>
  <c r="M549" i="9"/>
  <c r="O550" i="9"/>
  <c r="M90" i="9"/>
  <c r="O91" i="9"/>
  <c r="M77" i="9"/>
  <c r="O79" i="9"/>
  <c r="M265" i="9"/>
  <c r="O266" i="9"/>
  <c r="M330" i="9"/>
  <c r="O331" i="9"/>
  <c r="M471" i="9"/>
  <c r="O472" i="9"/>
  <c r="M475" i="9"/>
  <c r="O476" i="9"/>
  <c r="M493" i="9"/>
  <c r="O494" i="9"/>
  <c r="M487" i="9"/>
  <c r="O488" i="9"/>
  <c r="M498" i="9"/>
  <c r="O499" i="9"/>
  <c r="M533" i="9"/>
  <c r="O534" i="9"/>
  <c r="M554" i="9"/>
  <c r="O555" i="9"/>
  <c r="M389" i="9"/>
  <c r="O390" i="9"/>
  <c r="O268" i="9"/>
  <c r="M268" i="9"/>
  <c r="M89" i="9"/>
  <c r="M478" i="9"/>
  <c r="L586" i="9"/>
  <c r="M33" i="9"/>
  <c r="J333" i="9"/>
  <c r="K308" i="9"/>
  <c r="M308" i="9" s="1"/>
  <c r="K585" i="9"/>
  <c r="M585" i="9" s="1"/>
  <c r="E27" i="11"/>
  <c r="G27" i="11" s="1"/>
  <c r="K422" i="9"/>
  <c r="M422" i="9" s="1"/>
  <c r="O422" i="9" s="1"/>
  <c r="Q422" i="9" s="1"/>
  <c r="S422" i="9" s="1"/>
  <c r="V422" i="9" s="1"/>
  <c r="X422" i="9" s="1"/>
  <c r="Z422" i="9" s="1"/>
  <c r="AB422" i="9" s="1"/>
  <c r="J421" i="9"/>
  <c r="K392" i="9"/>
  <c r="K391" i="9" s="1"/>
  <c r="K155" i="9"/>
  <c r="M155" i="9" s="1"/>
  <c r="O155" i="9" s="1"/>
  <c r="Q155" i="9" s="1"/>
  <c r="S155" i="9" s="1"/>
  <c r="V155" i="9" s="1"/>
  <c r="X155" i="9" s="1"/>
  <c r="Z155" i="9" s="1"/>
  <c r="AB155" i="9" s="1"/>
  <c r="K152" i="9"/>
  <c r="M152" i="9" s="1"/>
  <c r="O152" i="9" s="1"/>
  <c r="Q152" i="9" s="1"/>
  <c r="S152" i="9" s="1"/>
  <c r="V152" i="9" s="1"/>
  <c r="X152" i="9" s="1"/>
  <c r="Z152" i="9" s="1"/>
  <c r="AB152" i="9" s="1"/>
  <c r="Z361" i="9" l="1"/>
  <c r="AB362" i="9"/>
  <c r="Z363" i="9"/>
  <c r="AB363" i="9" s="1"/>
  <c r="AB364" i="9"/>
  <c r="Z359" i="9"/>
  <c r="AB359" i="9" s="1"/>
  <c r="AB360" i="9"/>
  <c r="Z334" i="9"/>
  <c r="AB335" i="9"/>
  <c r="Z347" i="9"/>
  <c r="AB348" i="9"/>
  <c r="Z297" i="9"/>
  <c r="AB297" i="9" s="1"/>
  <c r="AB298" i="9"/>
  <c r="Z276" i="9"/>
  <c r="AB277" i="9"/>
  <c r="AB299" i="9"/>
  <c r="X358" i="9"/>
  <c r="M470" i="9"/>
  <c r="M495" i="9"/>
  <c r="S268" i="9"/>
  <c r="V269" i="9"/>
  <c r="S101" i="9"/>
  <c r="S100" i="9" s="1"/>
  <c r="V102" i="9"/>
  <c r="X352" i="9"/>
  <c r="V351" i="9"/>
  <c r="Q100" i="9"/>
  <c r="O389" i="9"/>
  <c r="Q390" i="9"/>
  <c r="O554" i="9"/>
  <c r="Q555" i="9"/>
  <c r="O533" i="9"/>
  <c r="Q534" i="9"/>
  <c r="O498" i="9"/>
  <c r="Q499" i="9"/>
  <c r="O487" i="9"/>
  <c r="Q488" i="9"/>
  <c r="O493" i="9"/>
  <c r="Q494" i="9"/>
  <c r="O475" i="9"/>
  <c r="Q476" i="9"/>
  <c r="O471" i="9"/>
  <c r="Q472" i="9"/>
  <c r="O330" i="9"/>
  <c r="Q331" i="9"/>
  <c r="O265" i="9"/>
  <c r="Q266" i="9"/>
  <c r="O77" i="9"/>
  <c r="Q79" i="9"/>
  <c r="O90" i="9"/>
  <c r="Q91" i="9"/>
  <c r="O549" i="9"/>
  <c r="Q550" i="9"/>
  <c r="O531" i="9"/>
  <c r="Q532" i="9"/>
  <c r="O75" i="9"/>
  <c r="Q76" i="9"/>
  <c r="O491" i="9"/>
  <c r="O490" i="9" s="1"/>
  <c r="Q492" i="9"/>
  <c r="O496" i="9"/>
  <c r="O495" i="9" s="1"/>
  <c r="Q497" i="9"/>
  <c r="O481" i="9"/>
  <c r="O477" i="9" s="1"/>
  <c r="Q483" i="9"/>
  <c r="O473" i="9"/>
  <c r="Q474" i="9"/>
  <c r="O443" i="9"/>
  <c r="Q444" i="9"/>
  <c r="S479" i="9"/>
  <c r="Q478" i="9"/>
  <c r="S213" i="9"/>
  <c r="Q212" i="9"/>
  <c r="O89" i="9"/>
  <c r="M307" i="9"/>
  <c r="O308" i="9"/>
  <c r="M32" i="9"/>
  <c r="M31" i="9" s="1"/>
  <c r="O33" i="9"/>
  <c r="M584" i="9"/>
  <c r="M583" i="9" s="1"/>
  <c r="M582" i="9" s="1"/>
  <c r="O585" i="9"/>
  <c r="M490" i="9"/>
  <c r="M477" i="9"/>
  <c r="M392" i="9"/>
  <c r="K584" i="9"/>
  <c r="K583" i="9" s="1"/>
  <c r="K582" i="9" s="1"/>
  <c r="K307" i="9"/>
  <c r="K142" i="9"/>
  <c r="K132" i="9"/>
  <c r="K240" i="9"/>
  <c r="J21" i="9"/>
  <c r="K113" i="9"/>
  <c r="K95" i="9"/>
  <c r="J515" i="9"/>
  <c r="J55" i="9"/>
  <c r="AB276" i="9" l="1"/>
  <c r="E134" i="11"/>
  <c r="G134" i="11" s="1"/>
  <c r="E238" i="11"/>
  <c r="AB347" i="9"/>
  <c r="AB334" i="9"/>
  <c r="E226" i="11"/>
  <c r="E152" i="11"/>
  <c r="G152" i="11" s="1"/>
  <c r="AB361" i="9"/>
  <c r="Z358" i="9"/>
  <c r="AB358" i="9" s="1"/>
  <c r="E153" i="11"/>
  <c r="G153" i="11" s="1"/>
  <c r="X351" i="9"/>
  <c r="Z352" i="9"/>
  <c r="M486" i="9"/>
  <c r="M469" i="9"/>
  <c r="O470" i="9"/>
  <c r="O469" i="9" s="1"/>
  <c r="S212" i="9"/>
  <c r="V213" i="9"/>
  <c r="S478" i="9"/>
  <c r="V479" i="9"/>
  <c r="X102" i="9"/>
  <c r="V101" i="9"/>
  <c r="X269" i="9"/>
  <c r="V268" i="9"/>
  <c r="O584" i="9"/>
  <c r="O583" i="9" s="1"/>
  <c r="O582" i="9" s="1"/>
  <c r="Q585" i="9"/>
  <c r="O32" i="9"/>
  <c r="O31" i="9" s="1"/>
  <c r="Q33" i="9"/>
  <c r="O307" i="9"/>
  <c r="Q308" i="9"/>
  <c r="Q443" i="9"/>
  <c r="S444" i="9"/>
  <c r="Q473" i="9"/>
  <c r="S474" i="9"/>
  <c r="Q481" i="9"/>
  <c r="S483" i="9"/>
  <c r="V483" i="9" s="1"/>
  <c r="S497" i="9"/>
  <c r="Q496" i="9"/>
  <c r="Q491" i="9"/>
  <c r="S492" i="9"/>
  <c r="Q75" i="9"/>
  <c r="S76" i="9"/>
  <c r="S532" i="9"/>
  <c r="Q531" i="9"/>
  <c r="S550" i="9"/>
  <c r="Q549" i="9"/>
  <c r="S91" i="9"/>
  <c r="Q90" i="9"/>
  <c r="S79" i="9"/>
  <c r="Q77" i="9"/>
  <c r="S266" i="9"/>
  <c r="Q265" i="9"/>
  <c r="S331" i="9"/>
  <c r="Q330" i="9"/>
  <c r="Q471" i="9"/>
  <c r="S472" i="9"/>
  <c r="Q475" i="9"/>
  <c r="S476" i="9"/>
  <c r="Q493" i="9"/>
  <c r="S494" i="9"/>
  <c r="S488" i="9"/>
  <c r="Q487" i="9"/>
  <c r="S499" i="9"/>
  <c r="Q498" i="9"/>
  <c r="S534" i="9"/>
  <c r="Q533" i="9"/>
  <c r="Q554" i="9"/>
  <c r="S555" i="9"/>
  <c r="Q389" i="9"/>
  <c r="S390" i="9"/>
  <c r="O486" i="9"/>
  <c r="M391" i="9"/>
  <c r="O392" i="9"/>
  <c r="K94" i="9"/>
  <c r="K93" i="9" s="1"/>
  <c r="M95" i="9"/>
  <c r="M132" i="9"/>
  <c r="K112" i="9"/>
  <c r="K111" i="9" s="1"/>
  <c r="M113" i="9"/>
  <c r="K239" i="9"/>
  <c r="M240" i="9"/>
  <c r="K141" i="9"/>
  <c r="M142" i="9"/>
  <c r="K403" i="9"/>
  <c r="M403" i="9" s="1"/>
  <c r="O403" i="9" s="1"/>
  <c r="Q403" i="9" s="1"/>
  <c r="S403" i="9" s="1"/>
  <c r="V403" i="9" s="1"/>
  <c r="X403" i="9" s="1"/>
  <c r="Z403" i="9" s="1"/>
  <c r="AB403" i="9" s="1"/>
  <c r="K397" i="9"/>
  <c r="K513" i="9"/>
  <c r="M513" i="9" s="1"/>
  <c r="O513" i="9" s="1"/>
  <c r="Q513" i="9" s="1"/>
  <c r="S513" i="9" s="1"/>
  <c r="V513" i="9" s="1"/>
  <c r="X513" i="9" s="1"/>
  <c r="Z513" i="9" s="1"/>
  <c r="AB513" i="9" s="1"/>
  <c r="K423" i="9"/>
  <c r="M423" i="9" s="1"/>
  <c r="O423" i="9" s="1"/>
  <c r="Q423" i="9" s="1"/>
  <c r="S423" i="9" s="1"/>
  <c r="V423" i="9" s="1"/>
  <c r="X423" i="9" s="1"/>
  <c r="Z423" i="9" s="1"/>
  <c r="AB423" i="9" s="1"/>
  <c r="K129" i="9"/>
  <c r="J384" i="9"/>
  <c r="K350" i="9"/>
  <c r="K284" i="9"/>
  <c r="K282" i="9"/>
  <c r="M282" i="9" s="1"/>
  <c r="O282" i="9" s="1"/>
  <c r="Q282" i="9" s="1"/>
  <c r="S282" i="9" s="1"/>
  <c r="V282" i="9" s="1"/>
  <c r="X282" i="9" s="1"/>
  <c r="Z282" i="9" s="1"/>
  <c r="AB282" i="9" s="1"/>
  <c r="K281" i="9"/>
  <c r="M281" i="9" s="1"/>
  <c r="O281" i="9" s="1"/>
  <c r="Q281" i="9" s="1"/>
  <c r="E237" i="11" l="1"/>
  <c r="G237" i="11" s="1"/>
  <c r="G238" i="11"/>
  <c r="E225" i="11"/>
  <c r="G225" i="11" s="1"/>
  <c r="G226" i="11"/>
  <c r="Z351" i="9"/>
  <c r="AB352" i="9"/>
  <c r="X268" i="9"/>
  <c r="Z269" i="9"/>
  <c r="X101" i="9"/>
  <c r="Z102" i="9"/>
  <c r="S389" i="9"/>
  <c r="V390" i="9"/>
  <c r="S554" i="9"/>
  <c r="V555" i="9"/>
  <c r="S493" i="9"/>
  <c r="V494" i="9"/>
  <c r="S475" i="9"/>
  <c r="V476" i="9"/>
  <c r="S471" i="9"/>
  <c r="V472" i="9"/>
  <c r="S75" i="9"/>
  <c r="V76" i="9"/>
  <c r="S491" i="9"/>
  <c r="S490" i="9" s="1"/>
  <c r="V492" i="9"/>
  <c r="X483" i="9"/>
  <c r="V481" i="9"/>
  <c r="S473" i="9"/>
  <c r="V474" i="9"/>
  <c r="S443" i="9"/>
  <c r="V444" i="9"/>
  <c r="S533" i="9"/>
  <c r="V534" i="9"/>
  <c r="S498" i="9"/>
  <c r="V499" i="9"/>
  <c r="V488" i="9"/>
  <c r="S487" i="9"/>
  <c r="S330" i="9"/>
  <c r="V331" i="9"/>
  <c r="S265" i="9"/>
  <c r="V266" i="9"/>
  <c r="S77" i="9"/>
  <c r="V79" i="9"/>
  <c r="S90" i="9"/>
  <c r="S89" i="9" s="1"/>
  <c r="V91" i="9"/>
  <c r="S549" i="9"/>
  <c r="V550" i="9"/>
  <c r="S531" i="9"/>
  <c r="V532" i="9"/>
  <c r="S496" i="9"/>
  <c r="S495" i="9" s="1"/>
  <c r="V497" i="9"/>
  <c r="V100" i="9"/>
  <c r="X479" i="9"/>
  <c r="V478" i="9"/>
  <c r="X213" i="9"/>
  <c r="V212" i="9"/>
  <c r="S481" i="9"/>
  <c r="S477" i="9" s="1"/>
  <c r="Q280" i="9"/>
  <c r="S281" i="9"/>
  <c r="Q89" i="9"/>
  <c r="Q495" i="9"/>
  <c r="S308" i="9"/>
  <c r="Q307" i="9"/>
  <c r="Q32" i="9"/>
  <c r="S33" i="9"/>
  <c r="Q584" i="9"/>
  <c r="Q583" i="9" s="1"/>
  <c r="Q582" i="9" s="1"/>
  <c r="S585" i="9"/>
  <c r="S470" i="9"/>
  <c r="Q477" i="9"/>
  <c r="O391" i="9"/>
  <c r="Q392" i="9"/>
  <c r="Q470" i="9"/>
  <c r="Q490" i="9"/>
  <c r="O280" i="9"/>
  <c r="M94" i="9"/>
  <c r="M93" i="9" s="1"/>
  <c r="O95" i="9"/>
  <c r="M141" i="9"/>
  <c r="O142" i="9"/>
  <c r="M239" i="9"/>
  <c r="O240" i="9"/>
  <c r="M112" i="9"/>
  <c r="M111" i="9" s="1"/>
  <c r="O113" i="9"/>
  <c r="O132" i="9"/>
  <c r="Q132" i="9" s="1"/>
  <c r="M280" i="9"/>
  <c r="K396" i="9"/>
  <c r="M397" i="9"/>
  <c r="K283" i="9"/>
  <c r="M284" i="9"/>
  <c r="K349" i="9"/>
  <c r="M350" i="9"/>
  <c r="M129" i="9"/>
  <c r="K280" i="9"/>
  <c r="Z101" i="9" l="1"/>
  <c r="AB102" i="9"/>
  <c r="Z268" i="9"/>
  <c r="AB269" i="9"/>
  <c r="AB351" i="9"/>
  <c r="E241" i="11"/>
  <c r="G241" i="11" s="1"/>
  <c r="X481" i="9"/>
  <c r="Z483" i="9"/>
  <c r="X100" i="9"/>
  <c r="X212" i="9"/>
  <c r="Z213" i="9"/>
  <c r="X478" i="9"/>
  <c r="Z479" i="9"/>
  <c r="S307" i="9"/>
  <c r="V308" i="9"/>
  <c r="S280" i="9"/>
  <c r="V281" i="9"/>
  <c r="V477" i="9"/>
  <c r="X497" i="9"/>
  <c r="V496" i="9"/>
  <c r="X532" i="9"/>
  <c r="V531" i="9"/>
  <c r="X550" i="9"/>
  <c r="V549" i="9"/>
  <c r="X91" i="9"/>
  <c r="V90" i="9"/>
  <c r="X79" i="9"/>
  <c r="V77" i="9"/>
  <c r="X266" i="9"/>
  <c r="V265" i="9"/>
  <c r="X331" i="9"/>
  <c r="V330" i="9"/>
  <c r="X499" i="9"/>
  <c r="V498" i="9"/>
  <c r="X534" i="9"/>
  <c r="Z534" i="9" s="1"/>
  <c r="AB534" i="9" s="1"/>
  <c r="V533" i="9"/>
  <c r="S584" i="9"/>
  <c r="S583" i="9" s="1"/>
  <c r="S582" i="9" s="1"/>
  <c r="V585" i="9"/>
  <c r="S32" i="9"/>
  <c r="S31" i="9" s="1"/>
  <c r="V33" i="9"/>
  <c r="X488" i="9"/>
  <c r="V487" i="9"/>
  <c r="X444" i="9"/>
  <c r="V443" i="9"/>
  <c r="X474" i="9"/>
  <c r="V473" i="9"/>
  <c r="X492" i="9"/>
  <c r="V491" i="9"/>
  <c r="X76" i="9"/>
  <c r="V75" i="9"/>
  <c r="X472" i="9"/>
  <c r="Z472" i="9" s="1"/>
  <c r="AB472" i="9" s="1"/>
  <c r="V471" i="9"/>
  <c r="X476" i="9"/>
  <c r="Z476" i="9" s="1"/>
  <c r="AB476" i="9" s="1"/>
  <c r="V475" i="9"/>
  <c r="X494" i="9"/>
  <c r="V493" i="9"/>
  <c r="X555" i="9"/>
  <c r="V554" i="9"/>
  <c r="X390" i="9"/>
  <c r="V389" i="9"/>
  <c r="S469" i="9"/>
  <c r="Q486" i="9"/>
  <c r="O112" i="9"/>
  <c r="O111" i="9" s="1"/>
  <c r="Q113" i="9"/>
  <c r="O239" i="9"/>
  <c r="Q240" i="9"/>
  <c r="O141" i="9"/>
  <c r="Q142" i="9"/>
  <c r="O94" i="9"/>
  <c r="O93" i="9" s="1"/>
  <c r="Q95" i="9"/>
  <c r="S486" i="9"/>
  <c r="S132" i="9"/>
  <c r="V132" i="9" s="1"/>
  <c r="Q391" i="9"/>
  <c r="S392" i="9"/>
  <c r="Q31" i="9"/>
  <c r="Q469" i="9"/>
  <c r="M283" i="9"/>
  <c r="O284" i="9"/>
  <c r="O350" i="9"/>
  <c r="M349" i="9"/>
  <c r="M346" i="9" s="1"/>
  <c r="M396" i="9"/>
  <c r="M395" i="9" s="1"/>
  <c r="O397" i="9"/>
  <c r="O129" i="9"/>
  <c r="Q129" i="9" s="1"/>
  <c r="K346" i="9"/>
  <c r="K395" i="9"/>
  <c r="K279" i="9"/>
  <c r="K273" i="9"/>
  <c r="M273" i="9" s="1"/>
  <c r="O273" i="9" s="1"/>
  <c r="Q273" i="9" s="1"/>
  <c r="S273" i="9" s="1"/>
  <c r="V273" i="9" s="1"/>
  <c r="X273" i="9" s="1"/>
  <c r="Z273" i="9" s="1"/>
  <c r="AB273" i="9" s="1"/>
  <c r="K272" i="9"/>
  <c r="M272" i="9" s="1"/>
  <c r="O272" i="9" s="1"/>
  <c r="Q272" i="9" s="1"/>
  <c r="K264" i="9"/>
  <c r="J249" i="9"/>
  <c r="J586" i="9" s="1"/>
  <c r="K235" i="9"/>
  <c r="M235" i="9" s="1"/>
  <c r="O235" i="9" s="1"/>
  <c r="Q235" i="9" s="1"/>
  <c r="S235" i="9" s="1"/>
  <c r="V235" i="9" s="1"/>
  <c r="X235" i="9" s="1"/>
  <c r="Z235" i="9" s="1"/>
  <c r="AB235" i="9" s="1"/>
  <c r="K234" i="9"/>
  <c r="M234" i="9" s="1"/>
  <c r="K202" i="9"/>
  <c r="M202" i="9" s="1"/>
  <c r="O202" i="9" s="1"/>
  <c r="Q202" i="9" s="1"/>
  <c r="S202" i="9" s="1"/>
  <c r="V202" i="9" s="1"/>
  <c r="X202" i="9" s="1"/>
  <c r="Z202" i="9" s="1"/>
  <c r="AB202" i="9" s="1"/>
  <c r="K193" i="9"/>
  <c r="K191" i="9"/>
  <c r="M191" i="9" s="1"/>
  <c r="O191" i="9" s="1"/>
  <c r="Q191" i="9" s="1"/>
  <c r="S191" i="9" s="1"/>
  <c r="V191" i="9" s="1"/>
  <c r="X191" i="9" s="1"/>
  <c r="Z191" i="9" s="1"/>
  <c r="AB191" i="9" s="1"/>
  <c r="K128" i="9"/>
  <c r="K116" i="9"/>
  <c r="K23" i="9"/>
  <c r="M23" i="9" s="1"/>
  <c r="O23" i="9" s="1"/>
  <c r="Q23" i="9" s="1"/>
  <c r="S23" i="9" s="1"/>
  <c r="V23" i="9" s="1"/>
  <c r="X23" i="9" s="1"/>
  <c r="Z23" i="9" s="1"/>
  <c r="AB23" i="9" s="1"/>
  <c r="G184" i="9"/>
  <c r="G187" i="9"/>
  <c r="Z478" i="9" l="1"/>
  <c r="AB479" i="9"/>
  <c r="Z212" i="9"/>
  <c r="AB213" i="9"/>
  <c r="E130" i="11"/>
  <c r="G130" i="11" s="1"/>
  <c r="AB268" i="9"/>
  <c r="Z100" i="9"/>
  <c r="AB100" i="9" s="1"/>
  <c r="AB101" i="9"/>
  <c r="E96" i="11"/>
  <c r="G96" i="11" s="1"/>
  <c r="Z481" i="9"/>
  <c r="AB483" i="9"/>
  <c r="X389" i="9"/>
  <c r="Z390" i="9"/>
  <c r="X554" i="9"/>
  <c r="Z555" i="9"/>
  <c r="X493" i="9"/>
  <c r="Z494" i="9"/>
  <c r="X475" i="9"/>
  <c r="Z475" i="9"/>
  <c r="X471" i="9"/>
  <c r="Z471" i="9"/>
  <c r="X75" i="9"/>
  <c r="Z76" i="9"/>
  <c r="X491" i="9"/>
  <c r="Z492" i="9"/>
  <c r="X473" i="9"/>
  <c r="Z474" i="9"/>
  <c r="X443" i="9"/>
  <c r="Z444" i="9"/>
  <c r="X487" i="9"/>
  <c r="Z488" i="9"/>
  <c r="X533" i="9"/>
  <c r="Z533" i="9"/>
  <c r="X498" i="9"/>
  <c r="Z499" i="9"/>
  <c r="X330" i="9"/>
  <c r="Z331" i="9"/>
  <c r="X265" i="9"/>
  <c r="Z266" i="9"/>
  <c r="X77" i="9"/>
  <c r="Z79" i="9"/>
  <c r="X90" i="9"/>
  <c r="Z91" i="9"/>
  <c r="X549" i="9"/>
  <c r="Z550" i="9"/>
  <c r="X531" i="9"/>
  <c r="Z532" i="9"/>
  <c r="X496" i="9"/>
  <c r="Z497" i="9"/>
  <c r="X477" i="9"/>
  <c r="V470" i="9"/>
  <c r="V469" i="9" s="1"/>
  <c r="V490" i="9"/>
  <c r="X495" i="9"/>
  <c r="S391" i="9"/>
  <c r="V392" i="9"/>
  <c r="X132" i="9"/>
  <c r="X33" i="9"/>
  <c r="V32" i="9"/>
  <c r="X585" i="9"/>
  <c r="Z585" i="9" s="1"/>
  <c r="AB585" i="9" s="1"/>
  <c r="V584" i="9"/>
  <c r="V583" i="9" s="1"/>
  <c r="V582" i="9" s="1"/>
  <c r="V89" i="9"/>
  <c r="V495" i="9"/>
  <c r="V486" i="9" s="1"/>
  <c r="X281" i="9"/>
  <c r="V280" i="9"/>
  <c r="X308" i="9"/>
  <c r="V307" i="9"/>
  <c r="X470" i="9"/>
  <c r="X469" i="9" s="1"/>
  <c r="X490" i="9"/>
  <c r="Q271" i="9"/>
  <c r="S272" i="9"/>
  <c r="S129" i="9"/>
  <c r="V129" i="9" s="1"/>
  <c r="O349" i="9"/>
  <c r="Q350" i="9"/>
  <c r="O396" i="9"/>
  <c r="O395" i="9" s="1"/>
  <c r="Q397" i="9"/>
  <c r="O283" i="9"/>
  <c r="Q284" i="9"/>
  <c r="Q94" i="9"/>
  <c r="Q93" i="9" s="1"/>
  <c r="S95" i="9"/>
  <c r="Q141" i="9"/>
  <c r="S142" i="9"/>
  <c r="Q239" i="9"/>
  <c r="S240" i="9"/>
  <c r="Q112" i="9"/>
  <c r="Q111" i="9" s="1"/>
  <c r="S113" i="9"/>
  <c r="O346" i="9"/>
  <c r="O271" i="9"/>
  <c r="M233" i="9"/>
  <c r="O234" i="9"/>
  <c r="M271" i="9"/>
  <c r="K127" i="9"/>
  <c r="M128" i="9"/>
  <c r="K192" i="9"/>
  <c r="M193" i="9"/>
  <c r="K115" i="9"/>
  <c r="M116" i="9"/>
  <c r="K263" i="9"/>
  <c r="M264" i="9"/>
  <c r="K278" i="9"/>
  <c r="M279" i="9"/>
  <c r="K233" i="9"/>
  <c r="K271" i="9"/>
  <c r="G151" i="9"/>
  <c r="G149" i="9"/>
  <c r="Z496" i="9" l="1"/>
  <c r="AB497" i="9"/>
  <c r="Z531" i="9"/>
  <c r="AB532" i="9"/>
  <c r="Z549" i="9"/>
  <c r="AB550" i="9"/>
  <c r="Z90" i="9"/>
  <c r="AB90" i="9" s="1"/>
  <c r="AB91" i="9"/>
  <c r="Z77" i="9"/>
  <c r="AB77" i="9" s="1"/>
  <c r="AB79" i="9"/>
  <c r="Z265" i="9"/>
  <c r="AB266" i="9"/>
  <c r="Z330" i="9"/>
  <c r="AB331" i="9"/>
  <c r="Z498" i="9"/>
  <c r="AB499" i="9"/>
  <c r="E92" i="11"/>
  <c r="G92" i="11" s="1"/>
  <c r="AB533" i="9"/>
  <c r="Z487" i="9"/>
  <c r="AB487" i="9" s="1"/>
  <c r="AB488" i="9"/>
  <c r="Z443" i="9"/>
  <c r="AB444" i="9"/>
  <c r="Z473" i="9"/>
  <c r="AB474" i="9"/>
  <c r="Z491" i="9"/>
  <c r="AB492" i="9"/>
  <c r="Z75" i="9"/>
  <c r="AB75" i="9" s="1"/>
  <c r="AB76" i="9"/>
  <c r="E55" i="11"/>
  <c r="G55" i="11" s="1"/>
  <c r="AB471" i="9"/>
  <c r="E57" i="11"/>
  <c r="G57" i="11" s="1"/>
  <c r="AB475" i="9"/>
  <c r="Z493" i="9"/>
  <c r="AB494" i="9"/>
  <c r="Z554" i="9"/>
  <c r="AB555" i="9"/>
  <c r="Z389" i="9"/>
  <c r="AB390" i="9"/>
  <c r="AB212" i="9"/>
  <c r="E98" i="11"/>
  <c r="G98" i="11" s="1"/>
  <c r="Z477" i="9"/>
  <c r="AB477" i="9" s="1"/>
  <c r="AB478" i="9"/>
  <c r="E61" i="11"/>
  <c r="G61" i="11" s="1"/>
  <c r="AB481" i="9"/>
  <c r="E62" i="11"/>
  <c r="G62" i="11" s="1"/>
  <c r="Z89" i="9"/>
  <c r="AB89" i="9" s="1"/>
  <c r="E84" i="11"/>
  <c r="X584" i="9"/>
  <c r="X583" i="9" s="1"/>
  <c r="X582" i="9" s="1"/>
  <c r="Z584" i="9"/>
  <c r="AB584" i="9" s="1"/>
  <c r="X32" i="9"/>
  <c r="Z33" i="9"/>
  <c r="X307" i="9"/>
  <c r="Z308" i="9"/>
  <c r="X280" i="9"/>
  <c r="Z281" i="9"/>
  <c r="Z132" i="9"/>
  <c r="X89" i="9"/>
  <c r="Z470" i="9"/>
  <c r="S271" i="9"/>
  <c r="V272" i="9"/>
  <c r="S112" i="9"/>
  <c r="S111" i="9" s="1"/>
  <c r="V113" i="9"/>
  <c r="S239" i="9"/>
  <c r="V240" i="9"/>
  <c r="S141" i="9"/>
  <c r="V142" i="9"/>
  <c r="S94" i="9"/>
  <c r="S93" i="9" s="1"/>
  <c r="V95" i="9"/>
  <c r="X129" i="9"/>
  <c r="V31" i="9"/>
  <c r="X392" i="9"/>
  <c r="V391" i="9"/>
  <c r="X486" i="9"/>
  <c r="O233" i="9"/>
  <c r="Q234" i="9"/>
  <c r="S284" i="9"/>
  <c r="Q283" i="9"/>
  <c r="S397" i="9"/>
  <c r="Q396" i="9"/>
  <c r="Q349" i="9"/>
  <c r="S350" i="9"/>
  <c r="M263" i="9"/>
  <c r="O264" i="9"/>
  <c r="M127" i="9"/>
  <c r="O128" i="9"/>
  <c r="M278" i="9"/>
  <c r="O279" i="9"/>
  <c r="M115" i="9"/>
  <c r="O116" i="9"/>
  <c r="M192" i="9"/>
  <c r="O193" i="9"/>
  <c r="M114" i="9"/>
  <c r="K114" i="9"/>
  <c r="I540" i="9"/>
  <c r="I538" i="9"/>
  <c r="H107" i="9"/>
  <c r="H18" i="9"/>
  <c r="E83" i="11" l="1"/>
  <c r="G83" i="11" s="1"/>
  <c r="G84" i="11"/>
  <c r="E65" i="11"/>
  <c r="G65" i="11" s="1"/>
  <c r="Z280" i="9"/>
  <c r="AB281" i="9"/>
  <c r="Z307" i="9"/>
  <c r="AB308" i="9"/>
  <c r="AB498" i="9"/>
  <c r="AB330" i="9"/>
  <c r="E222" i="11"/>
  <c r="G222" i="11" s="1"/>
  <c r="AB265" i="9"/>
  <c r="E129" i="11"/>
  <c r="G129" i="11" s="1"/>
  <c r="AB549" i="9"/>
  <c r="E113" i="11"/>
  <c r="G113" i="11" s="1"/>
  <c r="AB531" i="9"/>
  <c r="E91" i="11"/>
  <c r="G91" i="11" s="1"/>
  <c r="Z495" i="9"/>
  <c r="E72" i="11"/>
  <c r="G72" i="11" s="1"/>
  <c r="AB496" i="9"/>
  <c r="Z469" i="9"/>
  <c r="AB469" i="9" s="1"/>
  <c r="AB470" i="9"/>
  <c r="AB132" i="9"/>
  <c r="E164" i="11"/>
  <c r="G164" i="11" s="1"/>
  <c r="Z32" i="9"/>
  <c r="AB33" i="9"/>
  <c r="AB389" i="9"/>
  <c r="E199" i="11"/>
  <c r="G199" i="11" s="1"/>
  <c r="E140" i="11"/>
  <c r="AB554" i="9"/>
  <c r="AB493" i="9"/>
  <c r="E68" i="11"/>
  <c r="G68" i="11" s="1"/>
  <c r="Z490" i="9"/>
  <c r="AB490" i="9" s="1"/>
  <c r="AB491" i="9"/>
  <c r="E69" i="11"/>
  <c r="G69" i="11" s="1"/>
  <c r="E56" i="11"/>
  <c r="AB473" i="9"/>
  <c r="AB443" i="9"/>
  <c r="E173" i="11"/>
  <c r="G173" i="11" s="1"/>
  <c r="Z583" i="9"/>
  <c r="Z129" i="9"/>
  <c r="X31" i="9"/>
  <c r="X391" i="9"/>
  <c r="Z392" i="9"/>
  <c r="S396" i="9"/>
  <c r="S395" i="9" s="1"/>
  <c r="V397" i="9"/>
  <c r="S283" i="9"/>
  <c r="V284" i="9"/>
  <c r="X95" i="9"/>
  <c r="V94" i="9"/>
  <c r="V93" i="9" s="1"/>
  <c r="X142" i="9"/>
  <c r="V141" i="9"/>
  <c r="X240" i="9"/>
  <c r="V239" i="9"/>
  <c r="X113" i="9"/>
  <c r="Z113" i="9" s="1"/>
  <c r="AB113" i="9" s="1"/>
  <c r="V112" i="9"/>
  <c r="V111" i="9" s="1"/>
  <c r="X272" i="9"/>
  <c r="V271" i="9"/>
  <c r="S349" i="9"/>
  <c r="S346" i="9" s="1"/>
  <c r="V350" i="9"/>
  <c r="Q346" i="9"/>
  <c r="O192" i="9"/>
  <c r="Q193" i="9"/>
  <c r="O115" i="9"/>
  <c r="O114" i="9" s="1"/>
  <c r="Q116" i="9"/>
  <c r="O278" i="9"/>
  <c r="Q279" i="9"/>
  <c r="O127" i="9"/>
  <c r="Q128" i="9"/>
  <c r="O263" i="9"/>
  <c r="Q264" i="9"/>
  <c r="Q395" i="9"/>
  <c r="Q233" i="9"/>
  <c r="S234" i="9"/>
  <c r="I539" i="9"/>
  <c r="K540" i="9"/>
  <c r="I537" i="9"/>
  <c r="K538" i="9"/>
  <c r="H418" i="9"/>
  <c r="H261" i="9"/>
  <c r="H231" i="9"/>
  <c r="H228" i="9"/>
  <c r="E54" i="11" l="1"/>
  <c r="G54" i="11" s="1"/>
  <c r="G56" i="11"/>
  <c r="E138" i="11"/>
  <c r="G138" i="11" s="1"/>
  <c r="G140" i="11"/>
  <c r="Z582" i="9"/>
  <c r="AB582" i="9" s="1"/>
  <c r="AB583" i="9"/>
  <c r="Z486" i="9"/>
  <c r="AB486" i="9" s="1"/>
  <c r="AB495" i="9"/>
  <c r="AB307" i="9"/>
  <c r="E162" i="11"/>
  <c r="G162" i="11" s="1"/>
  <c r="AB280" i="9"/>
  <c r="E136" i="11"/>
  <c r="G136" i="11" s="1"/>
  <c r="E67" i="11"/>
  <c r="G67" i="11" s="1"/>
  <c r="Z391" i="9"/>
  <c r="AB392" i="9"/>
  <c r="AB129" i="9"/>
  <c r="E161" i="11"/>
  <c r="G161" i="11" s="1"/>
  <c r="Z31" i="9"/>
  <c r="AB31" i="9" s="1"/>
  <c r="AB32" i="9"/>
  <c r="E20" i="11"/>
  <c r="X271" i="9"/>
  <c r="Z272" i="9"/>
  <c r="X112" i="9"/>
  <c r="X111" i="9" s="1"/>
  <c r="Z112" i="9"/>
  <c r="X239" i="9"/>
  <c r="Z240" i="9"/>
  <c r="X141" i="9"/>
  <c r="Z142" i="9"/>
  <c r="X94" i="9"/>
  <c r="X93" i="9" s="1"/>
  <c r="Z95" i="9"/>
  <c r="S233" i="9"/>
  <c r="V234" i="9"/>
  <c r="X350" i="9"/>
  <c r="V349" i="9"/>
  <c r="X284" i="9"/>
  <c r="V283" i="9"/>
  <c r="X397" i="9"/>
  <c r="V396" i="9"/>
  <c r="S264" i="9"/>
  <c r="Q263" i="9"/>
  <c r="Q127" i="9"/>
  <c r="S128" i="9"/>
  <c r="Q278" i="9"/>
  <c r="S279" i="9"/>
  <c r="Q115" i="9"/>
  <c r="S116" i="9"/>
  <c r="S193" i="9"/>
  <c r="Q192" i="9"/>
  <c r="K537" i="9"/>
  <c r="M538" i="9"/>
  <c r="K539" i="9"/>
  <c r="M540" i="9"/>
  <c r="H421" i="9"/>
  <c r="H248" i="9"/>
  <c r="I248" i="9" s="1"/>
  <c r="K248" i="9" s="1"/>
  <c r="M248" i="9" s="1"/>
  <c r="O248" i="9" s="1"/>
  <c r="Q248" i="9" s="1"/>
  <c r="H245" i="9"/>
  <c r="I245" i="9" s="1"/>
  <c r="K245" i="9" s="1"/>
  <c r="M245" i="9" s="1"/>
  <c r="O245" i="9" s="1"/>
  <c r="Q245" i="9" s="1"/>
  <c r="I420" i="9"/>
  <c r="K420" i="9" s="1"/>
  <c r="M420" i="9" s="1"/>
  <c r="O420" i="9" s="1"/>
  <c r="Q420" i="9" s="1"/>
  <c r="S420" i="9" s="1"/>
  <c r="V420" i="9" s="1"/>
  <c r="X420" i="9" s="1"/>
  <c r="Z420" i="9" s="1"/>
  <c r="AB420" i="9" s="1"/>
  <c r="I345" i="9"/>
  <c r="I536" i="9"/>
  <c r="I557" i="9"/>
  <c r="K557" i="9" s="1"/>
  <c r="M557" i="9" s="1"/>
  <c r="O557" i="9" s="1"/>
  <c r="Q557" i="9" s="1"/>
  <c r="S557" i="9" s="1"/>
  <c r="V557" i="9" s="1"/>
  <c r="X557" i="9" s="1"/>
  <c r="Z557" i="9" s="1"/>
  <c r="AB557" i="9" s="1"/>
  <c r="I556" i="9"/>
  <c r="K556" i="9" s="1"/>
  <c r="M556" i="9" s="1"/>
  <c r="O556" i="9" s="1"/>
  <c r="Q556" i="9" s="1"/>
  <c r="H530" i="9"/>
  <c r="H467" i="9" s="1"/>
  <c r="I318" i="9"/>
  <c r="G317" i="9"/>
  <c r="G316" i="9" s="1"/>
  <c r="I581" i="9"/>
  <c r="K581" i="9" s="1"/>
  <c r="M581" i="9" s="1"/>
  <c r="O581" i="9" s="1"/>
  <c r="Q581" i="9" s="1"/>
  <c r="S581" i="9" s="1"/>
  <c r="V581" i="9" s="1"/>
  <c r="X581" i="9" s="1"/>
  <c r="Z581" i="9" s="1"/>
  <c r="AB581" i="9" s="1"/>
  <c r="I572" i="9"/>
  <c r="K572" i="9" s="1"/>
  <c r="M572" i="9" s="1"/>
  <c r="O572" i="9" s="1"/>
  <c r="Q572" i="9" s="1"/>
  <c r="S572" i="9" s="1"/>
  <c r="V572" i="9" s="1"/>
  <c r="X572" i="9" s="1"/>
  <c r="Z572" i="9" s="1"/>
  <c r="AB572" i="9" s="1"/>
  <c r="I571" i="9"/>
  <c r="K571" i="9" s="1"/>
  <c r="M571" i="9" s="1"/>
  <c r="O571" i="9" s="1"/>
  <c r="Q571" i="9" s="1"/>
  <c r="S571" i="9" s="1"/>
  <c r="V571" i="9" s="1"/>
  <c r="X571" i="9" s="1"/>
  <c r="Z571" i="9" s="1"/>
  <c r="AB571" i="9" s="1"/>
  <c r="I570" i="9"/>
  <c r="K570" i="9" s="1"/>
  <c r="M570" i="9" s="1"/>
  <c r="O570" i="9" s="1"/>
  <c r="Q570" i="9" s="1"/>
  <c r="I552" i="9"/>
  <c r="K552" i="9" s="1"/>
  <c r="I522" i="9"/>
  <c r="K522" i="9" s="1"/>
  <c r="I520" i="9"/>
  <c r="K520" i="9" s="1"/>
  <c r="I517" i="9"/>
  <c r="K517" i="9" s="1"/>
  <c r="M517" i="9" s="1"/>
  <c r="O517" i="9" s="1"/>
  <c r="Q517" i="9" s="1"/>
  <c r="S517" i="9" s="1"/>
  <c r="V517" i="9" s="1"/>
  <c r="X517" i="9" s="1"/>
  <c r="Z517" i="9" s="1"/>
  <c r="AB517" i="9" s="1"/>
  <c r="I515" i="9"/>
  <c r="K515" i="9" s="1"/>
  <c r="M515" i="9" s="1"/>
  <c r="O515" i="9" s="1"/>
  <c r="Q515" i="9" s="1"/>
  <c r="S515" i="9" s="1"/>
  <c r="V515" i="9" s="1"/>
  <c r="X515" i="9" s="1"/>
  <c r="Z515" i="9" s="1"/>
  <c r="AB515" i="9" s="1"/>
  <c r="I514" i="9"/>
  <c r="K514" i="9" s="1"/>
  <c r="M514" i="9" s="1"/>
  <c r="O514" i="9" s="1"/>
  <c r="Q514" i="9" s="1"/>
  <c r="S514" i="9" s="1"/>
  <c r="V514" i="9" s="1"/>
  <c r="X514" i="9" s="1"/>
  <c r="Z514" i="9" s="1"/>
  <c r="AB514" i="9" s="1"/>
  <c r="I508" i="9"/>
  <c r="K508" i="9" s="1"/>
  <c r="M508" i="9" s="1"/>
  <c r="O508" i="9" s="1"/>
  <c r="Q508" i="9" s="1"/>
  <c r="S508" i="9" s="1"/>
  <c r="V508" i="9" s="1"/>
  <c r="X508" i="9" s="1"/>
  <c r="Z508" i="9" s="1"/>
  <c r="AB508" i="9" s="1"/>
  <c r="I507" i="9"/>
  <c r="K507" i="9" s="1"/>
  <c r="M507" i="9" s="1"/>
  <c r="O507" i="9" s="1"/>
  <c r="Q507" i="9" s="1"/>
  <c r="I464" i="9"/>
  <c r="K464" i="9" s="1"/>
  <c r="M464" i="9" s="1"/>
  <c r="O464" i="9" s="1"/>
  <c r="Q464" i="9" s="1"/>
  <c r="S464" i="9" s="1"/>
  <c r="V464" i="9" s="1"/>
  <c r="X464" i="9" s="1"/>
  <c r="Z464" i="9" s="1"/>
  <c r="I463" i="9"/>
  <c r="K463" i="9" s="1"/>
  <c r="M463" i="9" s="1"/>
  <c r="O463" i="9" s="1"/>
  <c r="Q463" i="9" s="1"/>
  <c r="S463" i="9" s="1"/>
  <c r="V463" i="9" s="1"/>
  <c r="X463" i="9" s="1"/>
  <c r="Z463" i="9" s="1"/>
  <c r="AB463" i="9" s="1"/>
  <c r="I449" i="9"/>
  <c r="K449" i="9" s="1"/>
  <c r="M449" i="9" s="1"/>
  <c r="O449" i="9" s="1"/>
  <c r="Q449" i="9" s="1"/>
  <c r="S449" i="9" s="1"/>
  <c r="V449" i="9" s="1"/>
  <c r="X449" i="9" s="1"/>
  <c r="Z449" i="9" s="1"/>
  <c r="AB449" i="9" s="1"/>
  <c r="I448" i="9"/>
  <c r="K448" i="9" s="1"/>
  <c r="M448" i="9" s="1"/>
  <c r="O448" i="9" s="1"/>
  <c r="Q448" i="9" s="1"/>
  <c r="S448" i="9" s="1"/>
  <c r="V448" i="9" s="1"/>
  <c r="X448" i="9" s="1"/>
  <c r="Z448" i="9" s="1"/>
  <c r="AB448" i="9" s="1"/>
  <c r="I430" i="9"/>
  <c r="I421" i="9"/>
  <c r="K421" i="9" s="1"/>
  <c r="M421" i="9" s="1"/>
  <c r="O421" i="9" s="1"/>
  <c r="Q421" i="9" s="1"/>
  <c r="S421" i="9" s="1"/>
  <c r="V421" i="9" s="1"/>
  <c r="X421" i="9" s="1"/>
  <c r="Z421" i="9" s="1"/>
  <c r="AB421" i="9" s="1"/>
  <c r="I413" i="9"/>
  <c r="K413" i="9" s="1"/>
  <c r="I411" i="9"/>
  <c r="K411" i="9" s="1"/>
  <c r="M411" i="9" s="1"/>
  <c r="O411" i="9" s="1"/>
  <c r="Q411" i="9" s="1"/>
  <c r="S411" i="9" s="1"/>
  <c r="V411" i="9" s="1"/>
  <c r="X411" i="9" s="1"/>
  <c r="Z411" i="9" s="1"/>
  <c r="AB411" i="9" s="1"/>
  <c r="I410" i="9"/>
  <c r="K410" i="9" s="1"/>
  <c r="M410" i="9" s="1"/>
  <c r="O410" i="9" s="1"/>
  <c r="Q410" i="9" s="1"/>
  <c r="S410" i="9" s="1"/>
  <c r="V410" i="9" s="1"/>
  <c r="X410" i="9" s="1"/>
  <c r="Z410" i="9" s="1"/>
  <c r="AB410" i="9" s="1"/>
  <c r="I409" i="9"/>
  <c r="K409" i="9" s="1"/>
  <c r="M409" i="9" s="1"/>
  <c r="O409" i="9" s="1"/>
  <c r="I407" i="9"/>
  <c r="K407" i="9" s="1"/>
  <c r="M407" i="9" s="1"/>
  <c r="O407" i="9" s="1"/>
  <c r="Q407" i="9" s="1"/>
  <c r="S407" i="9" s="1"/>
  <c r="V407" i="9" s="1"/>
  <c r="X407" i="9" s="1"/>
  <c r="Z407" i="9" s="1"/>
  <c r="AB407" i="9" s="1"/>
  <c r="I406" i="9"/>
  <c r="K406" i="9" s="1"/>
  <c r="M406" i="9" s="1"/>
  <c r="O406" i="9" s="1"/>
  <c r="Q406" i="9" s="1"/>
  <c r="S406" i="9" s="1"/>
  <c r="V406" i="9" s="1"/>
  <c r="X406" i="9" s="1"/>
  <c r="Z406" i="9" s="1"/>
  <c r="AB406" i="9" s="1"/>
  <c r="I405" i="9"/>
  <c r="K405" i="9" s="1"/>
  <c r="M405" i="9" s="1"/>
  <c r="O405" i="9" s="1"/>
  <c r="Q405" i="9" s="1"/>
  <c r="I394" i="9"/>
  <c r="I374" i="9"/>
  <c r="I368" i="9"/>
  <c r="I357" i="9"/>
  <c r="K357" i="9" s="1"/>
  <c r="I343" i="9"/>
  <c r="I339" i="9"/>
  <c r="I333" i="9"/>
  <c r="I324" i="9"/>
  <c r="K324" i="9" s="1"/>
  <c r="M324" i="9" s="1"/>
  <c r="O324" i="9" s="1"/>
  <c r="Q324" i="9" s="1"/>
  <c r="S324" i="9" s="1"/>
  <c r="V324" i="9" s="1"/>
  <c r="X324" i="9" s="1"/>
  <c r="Z324" i="9" s="1"/>
  <c r="I323" i="9"/>
  <c r="K323" i="9" s="1"/>
  <c r="M323" i="9" s="1"/>
  <c r="O323" i="9" s="1"/>
  <c r="I314" i="9"/>
  <c r="I312" i="9"/>
  <c r="I306" i="9"/>
  <c r="I294" i="9"/>
  <c r="I293" i="9" s="1"/>
  <c r="I292" i="9" s="1"/>
  <c r="I289" i="9"/>
  <c r="K289" i="9" s="1"/>
  <c r="M289" i="9" s="1"/>
  <c r="O289" i="9" s="1"/>
  <c r="Q289" i="9" s="1"/>
  <c r="I262" i="9"/>
  <c r="K262" i="9" s="1"/>
  <c r="M262" i="9" s="1"/>
  <c r="O262" i="9" s="1"/>
  <c r="Q262" i="9" s="1"/>
  <c r="S262" i="9" s="1"/>
  <c r="V262" i="9" s="1"/>
  <c r="X262" i="9" s="1"/>
  <c r="Z262" i="9" s="1"/>
  <c r="AB262" i="9" s="1"/>
  <c r="I261" i="9"/>
  <c r="K261" i="9" s="1"/>
  <c r="M261" i="9" s="1"/>
  <c r="O261" i="9" s="1"/>
  <c r="Q261" i="9" s="1"/>
  <c r="I256" i="9"/>
  <c r="K256" i="9" s="1"/>
  <c r="M256" i="9" s="1"/>
  <c r="O256" i="9" s="1"/>
  <c r="Q256" i="9" s="1"/>
  <c r="S256" i="9" s="1"/>
  <c r="V256" i="9" s="1"/>
  <c r="X256" i="9" s="1"/>
  <c r="Z256" i="9" s="1"/>
  <c r="I253" i="9"/>
  <c r="K253" i="9" s="1"/>
  <c r="M253" i="9" s="1"/>
  <c r="O253" i="9" s="1"/>
  <c r="Q253" i="9" s="1"/>
  <c r="S253" i="9" s="1"/>
  <c r="V253" i="9" s="1"/>
  <c r="X253" i="9" s="1"/>
  <c r="Z253" i="9" s="1"/>
  <c r="I252" i="9"/>
  <c r="K252" i="9" s="1"/>
  <c r="M252" i="9" s="1"/>
  <c r="O252" i="9" s="1"/>
  <c r="I249" i="9"/>
  <c r="K249" i="9" s="1"/>
  <c r="M249" i="9" s="1"/>
  <c r="O249" i="9" s="1"/>
  <c r="Q249" i="9" s="1"/>
  <c r="S249" i="9" s="1"/>
  <c r="V249" i="9" s="1"/>
  <c r="X249" i="9" s="1"/>
  <c r="Z249" i="9" s="1"/>
  <c r="AB249" i="9" s="1"/>
  <c r="I246" i="9"/>
  <c r="K246" i="9" s="1"/>
  <c r="M246" i="9" s="1"/>
  <c r="O246" i="9" s="1"/>
  <c r="Q246" i="9" s="1"/>
  <c r="S246" i="9" s="1"/>
  <c r="V246" i="9" s="1"/>
  <c r="X246" i="9" s="1"/>
  <c r="Z246" i="9" s="1"/>
  <c r="AB246" i="9" s="1"/>
  <c r="I232" i="9"/>
  <c r="K232" i="9" s="1"/>
  <c r="M232" i="9" s="1"/>
  <c r="O232" i="9" s="1"/>
  <c r="Q232" i="9" s="1"/>
  <c r="S232" i="9" s="1"/>
  <c r="V232" i="9" s="1"/>
  <c r="X232" i="9" s="1"/>
  <c r="Z232" i="9" s="1"/>
  <c r="AB232" i="9" s="1"/>
  <c r="I231" i="9"/>
  <c r="K231" i="9" s="1"/>
  <c r="M231" i="9" s="1"/>
  <c r="O231" i="9" s="1"/>
  <c r="Q231" i="9" s="1"/>
  <c r="I229" i="9"/>
  <c r="K229" i="9" s="1"/>
  <c r="M229" i="9" s="1"/>
  <c r="O229" i="9" s="1"/>
  <c r="Q229" i="9" s="1"/>
  <c r="S229" i="9" s="1"/>
  <c r="V229" i="9" s="1"/>
  <c r="X229" i="9" s="1"/>
  <c r="Z229" i="9" s="1"/>
  <c r="AB229" i="9" s="1"/>
  <c r="I228" i="9"/>
  <c r="K228" i="9" s="1"/>
  <c r="M228" i="9" s="1"/>
  <c r="O228" i="9" s="1"/>
  <c r="Q228" i="9" s="1"/>
  <c r="I222" i="9"/>
  <c r="I211" i="9"/>
  <c r="I208" i="9"/>
  <c r="I201" i="9"/>
  <c r="I197" i="9"/>
  <c r="I190" i="9"/>
  <c r="I186" i="9"/>
  <c r="K186" i="9" s="1"/>
  <c r="M186" i="9" s="1"/>
  <c r="O186" i="9" s="1"/>
  <c r="Q186" i="9" s="1"/>
  <c r="I184" i="9"/>
  <c r="K184" i="9" s="1"/>
  <c r="M184" i="9" s="1"/>
  <c r="O184" i="9" s="1"/>
  <c r="Q184" i="9" s="1"/>
  <c r="S184" i="9" s="1"/>
  <c r="V184" i="9" s="1"/>
  <c r="X184" i="9" s="1"/>
  <c r="Z184" i="9" s="1"/>
  <c r="AB184" i="9" s="1"/>
  <c r="I173" i="9"/>
  <c r="K173" i="9" s="1"/>
  <c r="M173" i="9" s="1"/>
  <c r="O173" i="9" s="1"/>
  <c r="Q173" i="9" s="1"/>
  <c r="I171" i="9"/>
  <c r="K171" i="9" s="1"/>
  <c r="M171" i="9" s="1"/>
  <c r="O171" i="9" s="1"/>
  <c r="Q171" i="9" s="1"/>
  <c r="S171" i="9" s="1"/>
  <c r="V171" i="9" s="1"/>
  <c r="X171" i="9" s="1"/>
  <c r="Z171" i="9" s="1"/>
  <c r="AB171" i="9" s="1"/>
  <c r="I159" i="9"/>
  <c r="I154" i="9"/>
  <c r="I151" i="9"/>
  <c r="K151" i="9" s="1"/>
  <c r="M151" i="9" s="1"/>
  <c r="O151" i="9" s="1"/>
  <c r="Q151" i="9" s="1"/>
  <c r="S151" i="9" s="1"/>
  <c r="V151" i="9" s="1"/>
  <c r="X151" i="9" s="1"/>
  <c r="Z151" i="9" s="1"/>
  <c r="AB151" i="9" s="1"/>
  <c r="I150" i="9"/>
  <c r="K150" i="9" s="1"/>
  <c r="M150" i="9" s="1"/>
  <c r="O150" i="9" s="1"/>
  <c r="Q150" i="9" s="1"/>
  <c r="S150" i="9" s="1"/>
  <c r="V150" i="9" s="1"/>
  <c r="X150" i="9" s="1"/>
  <c r="Z150" i="9" s="1"/>
  <c r="AB150" i="9" s="1"/>
  <c r="I149" i="9"/>
  <c r="K149" i="9" s="1"/>
  <c r="M149" i="9" s="1"/>
  <c r="O149" i="9" s="1"/>
  <c r="Q149" i="9" s="1"/>
  <c r="I146" i="9"/>
  <c r="K146" i="9" s="1"/>
  <c r="I138" i="9"/>
  <c r="I134" i="9"/>
  <c r="K134" i="9" s="1"/>
  <c r="I131" i="9"/>
  <c r="I126" i="9"/>
  <c r="K126" i="9" s="1"/>
  <c r="I123" i="9"/>
  <c r="I119" i="9"/>
  <c r="K119" i="9" s="1"/>
  <c r="I109" i="9"/>
  <c r="K109" i="9" s="1"/>
  <c r="M109" i="9" s="1"/>
  <c r="O109" i="9" s="1"/>
  <c r="Q109" i="9" s="1"/>
  <c r="S109" i="9" s="1"/>
  <c r="V109" i="9" s="1"/>
  <c r="X109" i="9" s="1"/>
  <c r="Z109" i="9" s="1"/>
  <c r="AB109" i="9" s="1"/>
  <c r="I107" i="9"/>
  <c r="K107" i="9" s="1"/>
  <c r="M107" i="9" s="1"/>
  <c r="I82" i="9"/>
  <c r="I72" i="9"/>
  <c r="I68" i="9"/>
  <c r="K68" i="9" s="1"/>
  <c r="M68" i="9" s="1"/>
  <c r="O68" i="9" s="1"/>
  <c r="Q68" i="9" s="1"/>
  <c r="S68" i="9" s="1"/>
  <c r="V68" i="9" s="1"/>
  <c r="X68" i="9" s="1"/>
  <c r="Z68" i="9" s="1"/>
  <c r="AB68" i="9" s="1"/>
  <c r="I67" i="9"/>
  <c r="K67" i="9" s="1"/>
  <c r="M67" i="9" s="1"/>
  <c r="I65" i="9"/>
  <c r="I64" i="9"/>
  <c r="K64" i="9" s="1"/>
  <c r="M64" i="9" s="1"/>
  <c r="O64" i="9" s="1"/>
  <c r="Q64" i="9" s="1"/>
  <c r="I59" i="9"/>
  <c r="I57" i="9"/>
  <c r="K57" i="9" s="1"/>
  <c r="I55" i="9"/>
  <c r="I53" i="9"/>
  <c r="K53" i="9" s="1"/>
  <c r="I44" i="9"/>
  <c r="I43" i="9"/>
  <c r="K43" i="9" s="1"/>
  <c r="M43" i="9" s="1"/>
  <c r="O43" i="9" s="1"/>
  <c r="Q43" i="9" s="1"/>
  <c r="I41" i="9"/>
  <c r="K41" i="9" s="1"/>
  <c r="M41" i="9" s="1"/>
  <c r="O41" i="9" s="1"/>
  <c r="Q41" i="9" s="1"/>
  <c r="S41" i="9" s="1"/>
  <c r="V41" i="9" s="1"/>
  <c r="X41" i="9" s="1"/>
  <c r="Z41" i="9" s="1"/>
  <c r="I36" i="9"/>
  <c r="K36" i="9" s="1"/>
  <c r="I22" i="9"/>
  <c r="K22" i="9" s="1"/>
  <c r="M22" i="9" s="1"/>
  <c r="O22" i="9" s="1"/>
  <c r="Q22" i="9" s="1"/>
  <c r="S22" i="9" s="1"/>
  <c r="V22" i="9" s="1"/>
  <c r="X22" i="9" s="1"/>
  <c r="Z22" i="9" s="1"/>
  <c r="AB22" i="9" s="1"/>
  <c r="I21" i="9"/>
  <c r="K21" i="9" s="1"/>
  <c r="M21" i="9" s="1"/>
  <c r="I19" i="9"/>
  <c r="K19" i="9" s="1"/>
  <c r="M19" i="9" s="1"/>
  <c r="O19" i="9" s="1"/>
  <c r="Q19" i="9" s="1"/>
  <c r="S19" i="9" s="1"/>
  <c r="V19" i="9" s="1"/>
  <c r="X19" i="9" s="1"/>
  <c r="Z19" i="9" s="1"/>
  <c r="AB19" i="9" s="1"/>
  <c r="G373" i="9"/>
  <c r="G372" i="9" s="1"/>
  <c r="G255" i="9"/>
  <c r="I255" i="9" s="1"/>
  <c r="E19" i="11" l="1"/>
  <c r="G19" i="11" s="1"/>
  <c r="G20" i="11"/>
  <c r="AB464" i="9"/>
  <c r="Z94" i="9"/>
  <c r="AB95" i="9"/>
  <c r="Z141" i="9"/>
  <c r="AB142" i="9"/>
  <c r="Z239" i="9"/>
  <c r="AB240" i="9"/>
  <c r="Z111" i="9"/>
  <c r="AB111" i="9" s="1"/>
  <c r="AB112" i="9"/>
  <c r="Z271" i="9"/>
  <c r="AB272" i="9"/>
  <c r="E200" i="11"/>
  <c r="G200" i="11" s="1"/>
  <c r="AB391" i="9"/>
  <c r="X396" i="9"/>
  <c r="Z397" i="9"/>
  <c r="X283" i="9"/>
  <c r="Z284" i="9"/>
  <c r="X349" i="9"/>
  <c r="Z350" i="9"/>
  <c r="S115" i="9"/>
  <c r="S114" i="9" s="1"/>
  <c r="V116" i="9"/>
  <c r="S278" i="9"/>
  <c r="V279" i="9"/>
  <c r="S127" i="9"/>
  <c r="V128" i="9"/>
  <c r="S192" i="9"/>
  <c r="V193" i="9"/>
  <c r="S263" i="9"/>
  <c r="V264" i="9"/>
  <c r="V395" i="9"/>
  <c r="V346" i="9"/>
  <c r="X234" i="9"/>
  <c r="V233" i="9"/>
  <c r="I519" i="9"/>
  <c r="I356" i="9"/>
  <c r="I551" i="9"/>
  <c r="I546" i="9" s="1"/>
  <c r="Q148" i="9"/>
  <c r="S149" i="9"/>
  <c r="S173" i="9"/>
  <c r="V173" i="9" s="1"/>
  <c r="S186" i="9"/>
  <c r="V186" i="9" s="1"/>
  <c r="S261" i="9"/>
  <c r="Q260" i="9"/>
  <c r="Q259" i="9" s="1"/>
  <c r="Q404" i="9"/>
  <c r="S405" i="9"/>
  <c r="S556" i="9"/>
  <c r="Q553" i="9"/>
  <c r="S248" i="9"/>
  <c r="Q247" i="9"/>
  <c r="S43" i="9"/>
  <c r="V43" i="9" s="1"/>
  <c r="S64" i="9"/>
  <c r="V64" i="9" s="1"/>
  <c r="Q227" i="9"/>
  <c r="Q226" i="9" s="1"/>
  <c r="S228" i="9"/>
  <c r="Q230" i="9"/>
  <c r="S231" i="9"/>
  <c r="O251" i="9"/>
  <c r="Q252" i="9"/>
  <c r="O322" i="9"/>
  <c r="O321" i="9" s="1"/>
  <c r="O320" i="9" s="1"/>
  <c r="O319" i="9" s="1"/>
  <c r="Q323" i="9"/>
  <c r="O408" i="9"/>
  <c r="Q409" i="9"/>
  <c r="S507" i="9"/>
  <c r="Q506" i="9"/>
  <c r="Q569" i="9"/>
  <c r="Q568" i="9" s="1"/>
  <c r="Q567" i="9" s="1"/>
  <c r="Q562" i="9" s="1"/>
  <c r="S570" i="9"/>
  <c r="S245" i="9"/>
  <c r="Q244" i="9"/>
  <c r="Q243" i="9" s="1"/>
  <c r="Q114" i="9"/>
  <c r="Q288" i="9"/>
  <c r="S289" i="9"/>
  <c r="O506" i="9"/>
  <c r="O500" i="9" s="1"/>
  <c r="O227" i="9"/>
  <c r="O226" i="9" s="1"/>
  <c r="O288" i="9"/>
  <c r="O553" i="9"/>
  <c r="O230" i="9"/>
  <c r="O569" i="9"/>
  <c r="O568" i="9" s="1"/>
  <c r="O567" i="9" s="1"/>
  <c r="O562" i="9" s="1"/>
  <c r="M106" i="9"/>
  <c r="M105" i="9" s="1"/>
  <c r="M88" i="9" s="1"/>
  <c r="O107" i="9"/>
  <c r="O244" i="9"/>
  <c r="M20" i="9"/>
  <c r="O21" i="9"/>
  <c r="M66" i="9"/>
  <c r="O67" i="9"/>
  <c r="M539" i="9"/>
  <c r="O540" i="9"/>
  <c r="M537" i="9"/>
  <c r="O538" i="9"/>
  <c r="O148" i="9"/>
  <c r="O260" i="9"/>
  <c r="O259" i="9" s="1"/>
  <c r="O404" i="9"/>
  <c r="O247" i="9"/>
  <c r="M288" i="9"/>
  <c r="M287" i="9" s="1"/>
  <c r="M553" i="9"/>
  <c r="M227" i="9"/>
  <c r="M226" i="9" s="1"/>
  <c r="M230" i="9"/>
  <c r="M251" i="9"/>
  <c r="M322" i="9"/>
  <c r="M321" i="9" s="1"/>
  <c r="M408" i="9"/>
  <c r="M506" i="9"/>
  <c r="M569" i="9"/>
  <c r="M568" i="9" s="1"/>
  <c r="M567" i="9" s="1"/>
  <c r="M562" i="9" s="1"/>
  <c r="I52" i="9"/>
  <c r="I145" i="9"/>
  <c r="I144" i="9" s="1"/>
  <c r="K35" i="9"/>
  <c r="M36" i="9"/>
  <c r="K52" i="9"/>
  <c r="M53" i="9"/>
  <c r="K56" i="9"/>
  <c r="M57" i="9"/>
  <c r="K118" i="9"/>
  <c r="M119" i="9"/>
  <c r="K125" i="9"/>
  <c r="M126" i="9"/>
  <c r="K133" i="9"/>
  <c r="M134" i="9"/>
  <c r="K145" i="9"/>
  <c r="K144" i="9" s="1"/>
  <c r="M146" i="9"/>
  <c r="K521" i="9"/>
  <c r="M522" i="9"/>
  <c r="M244" i="9"/>
  <c r="K356" i="9"/>
  <c r="K355" i="9" s="1"/>
  <c r="K354" i="9" s="1"/>
  <c r="M357" i="9"/>
  <c r="K412" i="9"/>
  <c r="M413" i="9"/>
  <c r="K519" i="9"/>
  <c r="M520" i="9"/>
  <c r="K551" i="9"/>
  <c r="K546" i="9" s="1"/>
  <c r="M552" i="9"/>
  <c r="M148" i="9"/>
  <c r="M260" i="9"/>
  <c r="M259" i="9" s="1"/>
  <c r="M404" i="9"/>
  <c r="M247" i="9"/>
  <c r="M243" i="9" s="1"/>
  <c r="I125" i="9"/>
  <c r="I521" i="9"/>
  <c r="K148" i="9"/>
  <c r="K34" i="9"/>
  <c r="K288" i="9"/>
  <c r="K287" i="9" s="1"/>
  <c r="I66" i="9"/>
  <c r="I35" i="9"/>
  <c r="I34" i="9" s="1"/>
  <c r="I56" i="9"/>
  <c r="I118" i="9"/>
  <c r="I133" i="9"/>
  <c r="I412" i="9"/>
  <c r="K251" i="9"/>
  <c r="K322" i="9"/>
  <c r="K321" i="9" s="1"/>
  <c r="K408" i="9"/>
  <c r="K506" i="9"/>
  <c r="K569" i="9"/>
  <c r="K568" i="9" s="1"/>
  <c r="K567" i="9" s="1"/>
  <c r="K562" i="9" s="1"/>
  <c r="I20" i="9"/>
  <c r="I42" i="9"/>
  <c r="K44" i="9"/>
  <c r="M44" i="9" s="1"/>
  <c r="I54" i="9"/>
  <c r="K55" i="9"/>
  <c r="I58" i="9"/>
  <c r="K59" i="9"/>
  <c r="I63" i="9"/>
  <c r="K65" i="9"/>
  <c r="I80" i="9"/>
  <c r="I74" i="9" s="1"/>
  <c r="I73" i="9" s="1"/>
  <c r="K82" i="9"/>
  <c r="I122" i="9"/>
  <c r="K123" i="9"/>
  <c r="I130" i="9"/>
  <c r="K131" i="9"/>
  <c r="I137" i="9"/>
  <c r="I136" i="9" s="1"/>
  <c r="I135" i="9" s="1"/>
  <c r="K138" i="9"/>
  <c r="I158" i="9"/>
  <c r="I157" i="9" s="1"/>
  <c r="I156" i="9" s="1"/>
  <c r="K159" i="9"/>
  <c r="I196" i="9"/>
  <c r="K197" i="9"/>
  <c r="I207" i="9"/>
  <c r="I206" i="9" s="1"/>
  <c r="K208" i="9"/>
  <c r="I221" i="9"/>
  <c r="K222" i="9"/>
  <c r="K294" i="9"/>
  <c r="M294" i="9" s="1"/>
  <c r="O294" i="9" s="1"/>
  <c r="I311" i="9"/>
  <c r="K312" i="9"/>
  <c r="I332" i="9"/>
  <c r="I329" i="9" s="1"/>
  <c r="I328" i="9" s="1"/>
  <c r="K333" i="9"/>
  <c r="I342" i="9"/>
  <c r="I341" i="9" s="1"/>
  <c r="K343" i="9"/>
  <c r="I367" i="9"/>
  <c r="I366" i="9" s="1"/>
  <c r="I365" i="9" s="1"/>
  <c r="K368" i="9"/>
  <c r="I393" i="9"/>
  <c r="K394" i="9"/>
  <c r="K345" i="9"/>
  <c r="M345" i="9" s="1"/>
  <c r="O345" i="9" s="1"/>
  <c r="Q345" i="9" s="1"/>
  <c r="I254" i="9"/>
  <c r="K255" i="9"/>
  <c r="I71" i="9"/>
  <c r="I70" i="9" s="1"/>
  <c r="I69" i="9" s="1"/>
  <c r="K72" i="9"/>
  <c r="I153" i="9"/>
  <c r="K154" i="9"/>
  <c r="M154" i="9" s="1"/>
  <c r="I189" i="9"/>
  <c r="K190" i="9"/>
  <c r="I200" i="9"/>
  <c r="I199" i="9" s="1"/>
  <c r="I198" i="9" s="1"/>
  <c r="K201" i="9"/>
  <c r="M201" i="9" s="1"/>
  <c r="I210" i="9"/>
  <c r="I209" i="9" s="1"/>
  <c r="K211" i="9"/>
  <c r="I305" i="9"/>
  <c r="I304" i="9" s="1"/>
  <c r="K306" i="9"/>
  <c r="I313" i="9"/>
  <c r="K314" i="9"/>
  <c r="I338" i="9"/>
  <c r="I337" i="9" s="1"/>
  <c r="I336" i="9" s="1"/>
  <c r="K339" i="9"/>
  <c r="I373" i="9"/>
  <c r="I372" i="9" s="1"/>
  <c r="K374" i="9"/>
  <c r="I429" i="9"/>
  <c r="I428" i="9" s="1"/>
  <c r="I427" i="9" s="1"/>
  <c r="K430" i="9"/>
  <c r="I317" i="9"/>
  <c r="I316" i="9" s="1"/>
  <c r="I315" i="9" s="1"/>
  <c r="K318" i="9"/>
  <c r="I535" i="9"/>
  <c r="K536" i="9"/>
  <c r="K20" i="9"/>
  <c r="K42" i="9"/>
  <c r="K66" i="9"/>
  <c r="K106" i="9"/>
  <c r="K227" i="9"/>
  <c r="K226" i="9" s="1"/>
  <c r="K230" i="9"/>
  <c r="K244" i="9"/>
  <c r="K260" i="9"/>
  <c r="K259" i="9" s="1"/>
  <c r="K404" i="9"/>
  <c r="K553" i="9"/>
  <c r="K247" i="9"/>
  <c r="I230" i="9"/>
  <c r="I322" i="9"/>
  <c r="I321" i="9" s="1"/>
  <c r="I320" i="9" s="1"/>
  <c r="I319" i="9" s="1"/>
  <c r="I553" i="9"/>
  <c r="H586" i="9"/>
  <c r="I355" i="9"/>
  <c r="I354" i="9" s="1"/>
  <c r="I288" i="9"/>
  <c r="I287" i="9" s="1"/>
  <c r="I569" i="9"/>
  <c r="I568" i="9" s="1"/>
  <c r="I567" i="9" s="1"/>
  <c r="I562" i="9" s="1"/>
  <c r="I530" i="9"/>
  <c r="I344" i="9"/>
  <c r="I106" i="9"/>
  <c r="I227" i="9"/>
  <c r="I226" i="9" s="1"/>
  <c r="I247" i="9"/>
  <c r="I404" i="9"/>
  <c r="I408" i="9"/>
  <c r="I244" i="9"/>
  <c r="I251" i="9"/>
  <c r="I260" i="9"/>
  <c r="I259" i="9" s="1"/>
  <c r="I506" i="9"/>
  <c r="I148" i="9"/>
  <c r="I62" i="9"/>
  <c r="G221" i="9"/>
  <c r="G408" i="9"/>
  <c r="G404" i="9"/>
  <c r="G51" i="9"/>
  <c r="G49" i="9"/>
  <c r="I49" i="9" s="1"/>
  <c r="K49" i="9" s="1"/>
  <c r="M49" i="9" s="1"/>
  <c r="O49" i="9" s="1"/>
  <c r="Q49" i="9" s="1"/>
  <c r="G40" i="9"/>
  <c r="I40" i="9" s="1"/>
  <c r="G380" i="9"/>
  <c r="I380" i="9" s="1"/>
  <c r="G384" i="9"/>
  <c r="G305" i="9"/>
  <c r="G52" i="9"/>
  <c r="G148" i="9"/>
  <c r="E10" i="11"/>
  <c r="G462" i="9"/>
  <c r="G579" i="9"/>
  <c r="G569" i="9"/>
  <c r="G568" i="9" s="1"/>
  <c r="G567" i="9" s="1"/>
  <c r="G562" i="9" s="1"/>
  <c r="G130" i="9"/>
  <c r="G133" i="9"/>
  <c r="G313" i="9"/>
  <c r="G311" i="9"/>
  <c r="G230" i="9"/>
  <c r="G227" i="9"/>
  <c r="G226" i="9" s="1"/>
  <c r="G200" i="9"/>
  <c r="G199" i="9" s="1"/>
  <c r="G198" i="9" s="1"/>
  <c r="G196" i="9"/>
  <c r="G506" i="9"/>
  <c r="G500" i="9" s="1"/>
  <c r="G551" i="9"/>
  <c r="G546" i="9" s="1"/>
  <c r="G545" i="9" s="1"/>
  <c r="G521" i="9"/>
  <c r="G519" i="9"/>
  <c r="G512" i="9"/>
  <c r="G447" i="9"/>
  <c r="G429" i="9"/>
  <c r="G428" i="9" s="1"/>
  <c r="G427" i="9" s="1"/>
  <c r="G418" i="9"/>
  <c r="G122" i="9"/>
  <c r="G402" i="9"/>
  <c r="I402" i="9" s="1"/>
  <c r="K402" i="9" s="1"/>
  <c r="M402" i="9" s="1"/>
  <c r="O402" i="9" s="1"/>
  <c r="Q402" i="9" s="1"/>
  <c r="S402" i="9" s="1"/>
  <c r="V402" i="9" s="1"/>
  <c r="X402" i="9" s="1"/>
  <c r="Z402" i="9" s="1"/>
  <c r="AB402" i="9" s="1"/>
  <c r="G400" i="9"/>
  <c r="I400" i="9" s="1"/>
  <c r="K400" i="9" s="1"/>
  <c r="G412" i="9"/>
  <c r="AB271" i="9" l="1"/>
  <c r="E132" i="11"/>
  <c r="G132" i="11" s="1"/>
  <c r="AB239" i="9"/>
  <c r="E116" i="11"/>
  <c r="G116" i="11" s="1"/>
  <c r="AB141" i="9"/>
  <c r="E179" i="11"/>
  <c r="G179" i="11" s="1"/>
  <c r="AB94" i="9"/>
  <c r="Z93" i="9"/>
  <c r="AB93" i="9" s="1"/>
  <c r="Z349" i="9"/>
  <c r="AB350" i="9"/>
  <c r="Z283" i="9"/>
  <c r="AB284" i="9"/>
  <c r="Z396" i="9"/>
  <c r="AB397" i="9"/>
  <c r="X233" i="9"/>
  <c r="Z234" i="9"/>
  <c r="X346" i="9"/>
  <c r="X395" i="9"/>
  <c r="I518" i="9"/>
  <c r="S569" i="9"/>
  <c r="S568" i="9" s="1"/>
  <c r="S567" i="9" s="1"/>
  <c r="S562" i="9" s="1"/>
  <c r="V570" i="9"/>
  <c r="S230" i="9"/>
  <c r="V231" i="9"/>
  <c r="S227" i="9"/>
  <c r="S226" i="9" s="1"/>
  <c r="V228" i="9"/>
  <c r="X64" i="9"/>
  <c r="Z64" i="9" s="1"/>
  <c r="AB64" i="9" s="1"/>
  <c r="S404" i="9"/>
  <c r="V405" i="9"/>
  <c r="X186" i="9"/>
  <c r="Z186" i="9" s="1"/>
  <c r="AB186" i="9" s="1"/>
  <c r="S148" i="9"/>
  <c r="V149" i="9"/>
  <c r="S288" i="9"/>
  <c r="S287" i="9" s="1"/>
  <c r="V289" i="9"/>
  <c r="S244" i="9"/>
  <c r="V245" i="9"/>
  <c r="S506" i="9"/>
  <c r="S500" i="9" s="1"/>
  <c r="V507" i="9"/>
  <c r="S247" i="9"/>
  <c r="V248" i="9"/>
  <c r="S553" i="9"/>
  <c r="V556" i="9"/>
  <c r="S260" i="9"/>
  <c r="S259" i="9" s="1"/>
  <c r="V261" i="9"/>
  <c r="X173" i="9"/>
  <c r="Z173" i="9" s="1"/>
  <c r="AB173" i="9" s="1"/>
  <c r="X264" i="9"/>
  <c r="V263" i="9"/>
  <c r="X193" i="9"/>
  <c r="V192" i="9"/>
  <c r="X128" i="9"/>
  <c r="V127" i="9"/>
  <c r="X279" i="9"/>
  <c r="V278" i="9"/>
  <c r="X116" i="9"/>
  <c r="V115" i="9"/>
  <c r="X43" i="9"/>
  <c r="Z43" i="9" s="1"/>
  <c r="AB43" i="9" s="1"/>
  <c r="K518" i="9"/>
  <c r="O293" i="9"/>
  <c r="O292" i="9" s="1"/>
  <c r="Q294" i="9"/>
  <c r="O106" i="9"/>
  <c r="O105" i="9" s="1"/>
  <c r="O88" i="9" s="1"/>
  <c r="Q107" i="9"/>
  <c r="Q500" i="9"/>
  <c r="Q408" i="9"/>
  <c r="S409" i="9"/>
  <c r="Q322" i="9"/>
  <c r="Q321" i="9" s="1"/>
  <c r="S323" i="9"/>
  <c r="Q251" i="9"/>
  <c r="S252" i="9"/>
  <c r="Q48" i="9"/>
  <c r="S49" i="9"/>
  <c r="V49" i="9" s="1"/>
  <c r="Q344" i="9"/>
  <c r="S345" i="9"/>
  <c r="O537" i="9"/>
  <c r="Q538" i="9"/>
  <c r="O539" i="9"/>
  <c r="Q540" i="9"/>
  <c r="O66" i="9"/>
  <c r="Q67" i="9"/>
  <c r="O20" i="9"/>
  <c r="Q21" i="9"/>
  <c r="Q287" i="9"/>
  <c r="O344" i="9"/>
  <c r="O287" i="9"/>
  <c r="I124" i="9"/>
  <c r="O48" i="9"/>
  <c r="M200" i="9"/>
  <c r="M199" i="9" s="1"/>
  <c r="M198" i="9" s="1"/>
  <c r="O201" i="9"/>
  <c r="M153" i="9"/>
  <c r="O154" i="9"/>
  <c r="M42" i="9"/>
  <c r="O44" i="9"/>
  <c r="M521" i="9"/>
  <c r="O522" i="9"/>
  <c r="M145" i="9"/>
  <c r="M144" i="9" s="1"/>
  <c r="O146" i="9"/>
  <c r="M133" i="9"/>
  <c r="O134" i="9"/>
  <c r="M125" i="9"/>
  <c r="O126" i="9"/>
  <c r="M118" i="9"/>
  <c r="O119" i="9"/>
  <c r="M56" i="9"/>
  <c r="O57" i="9"/>
  <c r="M52" i="9"/>
  <c r="O53" i="9"/>
  <c r="M35" i="9"/>
  <c r="M34" i="9" s="1"/>
  <c r="O36" i="9"/>
  <c r="M551" i="9"/>
  <c r="M546" i="9" s="1"/>
  <c r="M545" i="9" s="1"/>
  <c r="O552" i="9"/>
  <c r="M519" i="9"/>
  <c r="O520" i="9"/>
  <c r="M412" i="9"/>
  <c r="O413" i="9"/>
  <c r="M356" i="9"/>
  <c r="O357" i="9"/>
  <c r="O243" i="9"/>
  <c r="M344" i="9"/>
  <c r="M293" i="9"/>
  <c r="M292" i="9" s="1"/>
  <c r="M500" i="9"/>
  <c r="M320" i="9"/>
  <c r="M319" i="9" s="1"/>
  <c r="M400" i="9"/>
  <c r="O400" i="9" s="1"/>
  <c r="Q400" i="9" s="1"/>
  <c r="K535" i="9"/>
  <c r="M536" i="9"/>
  <c r="K317" i="9"/>
  <c r="K316" i="9" s="1"/>
  <c r="K315" i="9" s="1"/>
  <c r="M318" i="9"/>
  <c r="K429" i="9"/>
  <c r="K428" i="9" s="1"/>
  <c r="K427" i="9" s="1"/>
  <c r="M430" i="9"/>
  <c r="K373" i="9"/>
  <c r="K372" i="9" s="1"/>
  <c r="M374" i="9"/>
  <c r="K338" i="9"/>
  <c r="K337" i="9" s="1"/>
  <c r="K336" i="9" s="1"/>
  <c r="M339" i="9"/>
  <c r="K313" i="9"/>
  <c r="M314" i="9"/>
  <c r="K210" i="9"/>
  <c r="K209" i="9" s="1"/>
  <c r="M211" i="9"/>
  <c r="K189" i="9"/>
  <c r="M190" i="9"/>
  <c r="K71" i="9"/>
  <c r="K70" i="9" s="1"/>
  <c r="K69" i="9" s="1"/>
  <c r="M72" i="9"/>
  <c r="K221" i="9"/>
  <c r="K220" i="9" s="1"/>
  <c r="K215" i="9" s="1"/>
  <c r="M222" i="9"/>
  <c r="K207" i="9"/>
  <c r="K206" i="9" s="1"/>
  <c r="M208" i="9"/>
  <c r="K196" i="9"/>
  <c r="M197" i="9"/>
  <c r="K158" i="9"/>
  <c r="K157" i="9" s="1"/>
  <c r="K156" i="9" s="1"/>
  <c r="M159" i="9"/>
  <c r="K137" i="9"/>
  <c r="K136" i="9" s="1"/>
  <c r="K135" i="9" s="1"/>
  <c r="M138" i="9"/>
  <c r="M131" i="9"/>
  <c r="O131" i="9" s="1"/>
  <c r="Q131" i="9" s="1"/>
  <c r="K122" i="9"/>
  <c r="K117" i="9" s="1"/>
  <c r="M123" i="9"/>
  <c r="K80" i="9"/>
  <c r="K74" i="9" s="1"/>
  <c r="K73" i="9" s="1"/>
  <c r="M82" i="9"/>
  <c r="K63" i="9"/>
  <c r="K62" i="9" s="1"/>
  <c r="M65" i="9"/>
  <c r="K58" i="9"/>
  <c r="M59" i="9"/>
  <c r="K54" i="9"/>
  <c r="M55" i="9"/>
  <c r="M48" i="9"/>
  <c r="K393" i="9"/>
  <c r="M394" i="9"/>
  <c r="K367" i="9"/>
  <c r="K366" i="9" s="1"/>
  <c r="K365" i="9" s="1"/>
  <c r="M368" i="9"/>
  <c r="K342" i="9"/>
  <c r="K341" i="9" s="1"/>
  <c r="M343" i="9"/>
  <c r="K332" i="9"/>
  <c r="K329" i="9" s="1"/>
  <c r="K328" i="9" s="1"/>
  <c r="M333" i="9"/>
  <c r="K311" i="9"/>
  <c r="M312" i="9"/>
  <c r="K305" i="9"/>
  <c r="K304" i="9" s="1"/>
  <c r="M306" i="9"/>
  <c r="K254" i="9"/>
  <c r="K250" i="9" s="1"/>
  <c r="M255" i="9"/>
  <c r="I250" i="9"/>
  <c r="K545" i="9"/>
  <c r="K105" i="9"/>
  <c r="K88" i="9" s="1"/>
  <c r="K153" i="9"/>
  <c r="K147" i="9" s="1"/>
  <c r="K143" i="9" s="1"/>
  <c r="K344" i="9"/>
  <c r="K293" i="9"/>
  <c r="K292" i="9" s="1"/>
  <c r="K130" i="9"/>
  <c r="K500" i="9"/>
  <c r="K320" i="9"/>
  <c r="K319" i="9" s="1"/>
  <c r="I310" i="9"/>
  <c r="I309" i="9" s="1"/>
  <c r="I147" i="9"/>
  <c r="I143" i="9" s="1"/>
  <c r="I117" i="9"/>
  <c r="I243" i="9"/>
  <c r="I545" i="9"/>
  <c r="K200" i="9"/>
  <c r="I205" i="9"/>
  <c r="I379" i="9"/>
  <c r="K380" i="9"/>
  <c r="I39" i="9"/>
  <c r="I38" i="9" s="1"/>
  <c r="K40" i="9"/>
  <c r="I529" i="9"/>
  <c r="I524" i="9" s="1"/>
  <c r="I523" i="9" s="1"/>
  <c r="K530" i="9"/>
  <c r="K243" i="9"/>
  <c r="K48" i="9"/>
  <c r="G220" i="9"/>
  <c r="G215" i="9" s="1"/>
  <c r="I340" i="9"/>
  <c r="I384" i="9"/>
  <c r="K384" i="9" s="1"/>
  <c r="M384" i="9" s="1"/>
  <c r="I220" i="9"/>
  <c r="I215" i="9" s="1"/>
  <c r="I61" i="9"/>
  <c r="I60" i="9" s="1"/>
  <c r="I500" i="9"/>
  <c r="I105" i="9"/>
  <c r="I88" i="9" s="1"/>
  <c r="G446" i="9"/>
  <c r="G445" i="9" s="1"/>
  <c r="G436" i="9" s="1"/>
  <c r="G435" i="9" s="1"/>
  <c r="G431" i="9" s="1"/>
  <c r="I447" i="9"/>
  <c r="G461" i="9"/>
  <c r="G460" i="9" s="1"/>
  <c r="G459" i="9" s="1"/>
  <c r="G458" i="9" s="1"/>
  <c r="G454" i="9" s="1"/>
  <c r="I462" i="9"/>
  <c r="I48" i="9"/>
  <c r="G417" i="9"/>
  <c r="G416" i="9" s="1"/>
  <c r="G415" i="9" s="1"/>
  <c r="G414" i="9" s="1"/>
  <c r="I418" i="9"/>
  <c r="K418" i="9" s="1"/>
  <c r="G511" i="9"/>
  <c r="G510" i="9" s="1"/>
  <c r="I512" i="9"/>
  <c r="G578" i="9"/>
  <c r="G577" i="9" s="1"/>
  <c r="G576" i="9" s="1"/>
  <c r="G575" i="9" s="1"/>
  <c r="I579" i="9"/>
  <c r="G50" i="9"/>
  <c r="I51" i="9"/>
  <c r="G47" i="9"/>
  <c r="G48" i="9"/>
  <c r="G304" i="9"/>
  <c r="G518" i="9"/>
  <c r="G310" i="9"/>
  <c r="G309" i="9" s="1"/>
  <c r="G356" i="9"/>
  <c r="Z395" i="9" l="1"/>
  <c r="AB395" i="9" s="1"/>
  <c r="AB396" i="9"/>
  <c r="E203" i="11"/>
  <c r="G203" i="11" s="1"/>
  <c r="AB283" i="9"/>
  <c r="E137" i="11"/>
  <c r="G137" i="11" s="1"/>
  <c r="Z346" i="9"/>
  <c r="AB346" i="9" s="1"/>
  <c r="AB349" i="9"/>
  <c r="E240" i="11"/>
  <c r="Z233" i="9"/>
  <c r="AB234" i="9"/>
  <c r="X115" i="9"/>
  <c r="Z116" i="9"/>
  <c r="X278" i="9"/>
  <c r="Z279" i="9"/>
  <c r="X127" i="9"/>
  <c r="Z128" i="9"/>
  <c r="X192" i="9"/>
  <c r="Z193" i="9"/>
  <c r="X263" i="9"/>
  <c r="Z264" i="9"/>
  <c r="S243" i="9"/>
  <c r="S344" i="9"/>
  <c r="V345" i="9"/>
  <c r="X49" i="9"/>
  <c r="Z49" i="9" s="1"/>
  <c r="AB49" i="9" s="1"/>
  <c r="V48" i="9"/>
  <c r="S251" i="9"/>
  <c r="V252" i="9"/>
  <c r="S408" i="9"/>
  <c r="V409" i="9"/>
  <c r="V114" i="9"/>
  <c r="X261" i="9"/>
  <c r="V260" i="9"/>
  <c r="V259" i="9" s="1"/>
  <c r="X556" i="9"/>
  <c r="Z556" i="9" s="1"/>
  <c r="V553" i="9"/>
  <c r="X248" i="9"/>
  <c r="V247" i="9"/>
  <c r="X507" i="9"/>
  <c r="V506" i="9"/>
  <c r="X245" i="9"/>
  <c r="V244" i="9"/>
  <c r="V243" i="9" s="1"/>
  <c r="X289" i="9"/>
  <c r="V288" i="9"/>
  <c r="X149" i="9"/>
  <c r="V148" i="9"/>
  <c r="X405" i="9"/>
  <c r="V404" i="9"/>
  <c r="X228" i="9"/>
  <c r="V227" i="9"/>
  <c r="V226" i="9" s="1"/>
  <c r="X231" i="9"/>
  <c r="V230" i="9"/>
  <c r="X570" i="9"/>
  <c r="Z570" i="9" s="1"/>
  <c r="V569" i="9"/>
  <c r="V568" i="9" s="1"/>
  <c r="V567" i="9" s="1"/>
  <c r="V562" i="9" s="1"/>
  <c r="S322" i="9"/>
  <c r="S321" i="9" s="1"/>
  <c r="S320" i="9" s="1"/>
  <c r="S319" i="9" s="1"/>
  <c r="V323" i="9"/>
  <c r="I110" i="9"/>
  <c r="S131" i="9"/>
  <c r="Q130" i="9"/>
  <c r="Q20" i="9"/>
  <c r="S21" i="9"/>
  <c r="Q66" i="9"/>
  <c r="S67" i="9"/>
  <c r="S540" i="9"/>
  <c r="Q539" i="9"/>
  <c r="S538" i="9"/>
  <c r="Q537" i="9"/>
  <c r="S48" i="9"/>
  <c r="Q320" i="9"/>
  <c r="Q319" i="9" s="1"/>
  <c r="S400" i="9"/>
  <c r="V400" i="9" s="1"/>
  <c r="O356" i="9"/>
  <c r="O355" i="9" s="1"/>
  <c r="O354" i="9" s="1"/>
  <c r="Q357" i="9"/>
  <c r="O412" i="9"/>
  <c r="Q413" i="9"/>
  <c r="O519" i="9"/>
  <c r="Q520" i="9"/>
  <c r="O551" i="9"/>
  <c r="O546" i="9" s="1"/>
  <c r="O545" i="9" s="1"/>
  <c r="Q552" i="9"/>
  <c r="O35" i="9"/>
  <c r="O34" i="9" s="1"/>
  <c r="Q36" i="9"/>
  <c r="O52" i="9"/>
  <c r="Q53" i="9"/>
  <c r="O56" i="9"/>
  <c r="Q57" i="9"/>
  <c r="O118" i="9"/>
  <c r="Q119" i="9"/>
  <c r="O125" i="9"/>
  <c r="Q126" i="9"/>
  <c r="O133" i="9"/>
  <c r="Q134" i="9"/>
  <c r="O145" i="9"/>
  <c r="O144" i="9" s="1"/>
  <c r="Q146" i="9"/>
  <c r="O521" i="9"/>
  <c r="O518" i="9" s="1"/>
  <c r="Q522" i="9"/>
  <c r="O42" i="9"/>
  <c r="Q44" i="9"/>
  <c r="O153" i="9"/>
  <c r="O147" i="9" s="1"/>
  <c r="Q154" i="9"/>
  <c r="O200" i="9"/>
  <c r="O199" i="9" s="1"/>
  <c r="O198" i="9" s="1"/>
  <c r="Q201" i="9"/>
  <c r="S107" i="9"/>
  <c r="Q106" i="9"/>
  <c r="Q293" i="9"/>
  <c r="S294" i="9"/>
  <c r="K205" i="9"/>
  <c r="O130" i="9"/>
  <c r="K310" i="9"/>
  <c r="K309" i="9" s="1"/>
  <c r="M147" i="9"/>
  <c r="M143" i="9" s="1"/>
  <c r="M355" i="9"/>
  <c r="M354" i="9" s="1"/>
  <c r="K340" i="9"/>
  <c r="I238" i="9"/>
  <c r="I214" i="9" s="1"/>
  <c r="M518" i="9"/>
  <c r="M383" i="9"/>
  <c r="O384" i="9"/>
  <c r="M311" i="9"/>
  <c r="O312" i="9"/>
  <c r="M332" i="9"/>
  <c r="M329" i="9" s="1"/>
  <c r="M328" i="9" s="1"/>
  <c r="O333" i="9"/>
  <c r="M342" i="9"/>
  <c r="M341" i="9" s="1"/>
  <c r="M340" i="9" s="1"/>
  <c r="O343" i="9"/>
  <c r="M367" i="9"/>
  <c r="M366" i="9" s="1"/>
  <c r="M365" i="9" s="1"/>
  <c r="O368" i="9"/>
  <c r="M393" i="9"/>
  <c r="O394" i="9"/>
  <c r="M54" i="9"/>
  <c r="O55" i="9"/>
  <c r="M58" i="9"/>
  <c r="O59" i="9"/>
  <c r="M63" i="9"/>
  <c r="M62" i="9" s="1"/>
  <c r="M61" i="9" s="1"/>
  <c r="M60" i="9" s="1"/>
  <c r="O65" i="9"/>
  <c r="M80" i="9"/>
  <c r="M74" i="9" s="1"/>
  <c r="M73" i="9" s="1"/>
  <c r="O82" i="9"/>
  <c r="M122" i="9"/>
  <c r="M117" i="9" s="1"/>
  <c r="O123" i="9"/>
  <c r="M254" i="9"/>
  <c r="M250" i="9" s="1"/>
  <c r="M238" i="9" s="1"/>
  <c r="O255" i="9"/>
  <c r="M305" i="9"/>
  <c r="M304" i="9" s="1"/>
  <c r="O306" i="9"/>
  <c r="M137" i="9"/>
  <c r="O138" i="9"/>
  <c r="M158" i="9"/>
  <c r="M157" i="9" s="1"/>
  <c r="M156" i="9" s="1"/>
  <c r="O159" i="9"/>
  <c r="M196" i="9"/>
  <c r="O197" i="9"/>
  <c r="M207" i="9"/>
  <c r="M206" i="9" s="1"/>
  <c r="O208" i="9"/>
  <c r="M221" i="9"/>
  <c r="M220" i="9" s="1"/>
  <c r="M215" i="9" s="1"/>
  <c r="O222" i="9"/>
  <c r="M71" i="9"/>
  <c r="M70" i="9" s="1"/>
  <c r="M69" i="9" s="1"/>
  <c r="O72" i="9"/>
  <c r="M189" i="9"/>
  <c r="O190" i="9"/>
  <c r="M210" i="9"/>
  <c r="M209" i="9" s="1"/>
  <c r="O211" i="9"/>
  <c r="M313" i="9"/>
  <c r="O314" i="9"/>
  <c r="M338" i="9"/>
  <c r="M337" i="9" s="1"/>
  <c r="M336" i="9" s="1"/>
  <c r="O339" i="9"/>
  <c r="M373" i="9"/>
  <c r="M372" i="9" s="1"/>
  <c r="O374" i="9"/>
  <c r="M429" i="9"/>
  <c r="M428" i="9" s="1"/>
  <c r="M427" i="9" s="1"/>
  <c r="O430" i="9"/>
  <c r="M317" i="9"/>
  <c r="M316" i="9" s="1"/>
  <c r="M315" i="9" s="1"/>
  <c r="O318" i="9"/>
  <c r="M535" i="9"/>
  <c r="O536" i="9"/>
  <c r="M136" i="9"/>
  <c r="M135" i="9" s="1"/>
  <c r="M130" i="9"/>
  <c r="M124" i="9" s="1"/>
  <c r="K529" i="9"/>
  <c r="K524" i="9" s="1"/>
  <c r="K523" i="9" s="1"/>
  <c r="M530" i="9"/>
  <c r="K39" i="9"/>
  <c r="K38" i="9" s="1"/>
  <c r="M40" i="9"/>
  <c r="K379" i="9"/>
  <c r="M380" i="9"/>
  <c r="M418" i="9"/>
  <c r="K417" i="9"/>
  <c r="K416" i="9" s="1"/>
  <c r="K238" i="9"/>
  <c r="K214" i="9" s="1"/>
  <c r="K61" i="9"/>
  <c r="K60" i="9" s="1"/>
  <c r="K199" i="9"/>
  <c r="K198" i="9" s="1"/>
  <c r="K124" i="9"/>
  <c r="K110" i="9" s="1"/>
  <c r="I50" i="9"/>
  <c r="K51" i="9"/>
  <c r="M51" i="9" s="1"/>
  <c r="O51" i="9" s="1"/>
  <c r="Q51" i="9" s="1"/>
  <c r="I578" i="9"/>
  <c r="I577" i="9" s="1"/>
  <c r="I576" i="9" s="1"/>
  <c r="I575" i="9" s="1"/>
  <c r="K579" i="9"/>
  <c r="I511" i="9"/>
  <c r="I510" i="9" s="1"/>
  <c r="I509" i="9" s="1"/>
  <c r="I468" i="9" s="1"/>
  <c r="I467" i="9" s="1"/>
  <c r="K512" i="9"/>
  <c r="I461" i="9"/>
  <c r="K462" i="9"/>
  <c r="I446" i="9"/>
  <c r="I445" i="9" s="1"/>
  <c r="I436" i="9" s="1"/>
  <c r="I435" i="9" s="1"/>
  <c r="I431" i="9" s="1"/>
  <c r="K447" i="9"/>
  <c r="I383" i="9"/>
  <c r="I378" i="9" s="1"/>
  <c r="K383" i="9"/>
  <c r="I460" i="9"/>
  <c r="I459" i="9" s="1"/>
  <c r="I458" i="9" s="1"/>
  <c r="I454" i="9" s="1"/>
  <c r="I417" i="9"/>
  <c r="G509" i="9"/>
  <c r="G468" i="9" s="1"/>
  <c r="G467" i="9" s="1"/>
  <c r="I47" i="9"/>
  <c r="I37" i="9" s="1"/>
  <c r="G355" i="9"/>
  <c r="G354" i="9" s="1"/>
  <c r="G367" i="9"/>
  <c r="G401" i="9"/>
  <c r="G393" i="9"/>
  <c r="G383" i="9"/>
  <c r="G379" i="9"/>
  <c r="G342" i="9"/>
  <c r="G338" i="9"/>
  <c r="G332" i="9"/>
  <c r="G322" i="9"/>
  <c r="G321" i="9" s="1"/>
  <c r="G189" i="9"/>
  <c r="G293" i="9"/>
  <c r="G292" i="9" s="1"/>
  <c r="G288" i="9"/>
  <c r="G287" i="9" s="1"/>
  <c r="G260" i="9"/>
  <c r="G259" i="9" s="1"/>
  <c r="G254" i="9"/>
  <c r="G251" i="9"/>
  <c r="G247" i="9"/>
  <c r="G244" i="9"/>
  <c r="G210" i="9"/>
  <c r="G207" i="9"/>
  <c r="G206" i="9" s="1"/>
  <c r="I187" i="9"/>
  <c r="G183" i="9"/>
  <c r="G185" i="9"/>
  <c r="G177" i="9"/>
  <c r="G174" i="9"/>
  <c r="I174" i="9" s="1"/>
  <c r="G170" i="9"/>
  <c r="G35" i="9"/>
  <c r="G158" i="9"/>
  <c r="G153" i="9"/>
  <c r="G145" i="9"/>
  <c r="G137" i="9"/>
  <c r="G125" i="9"/>
  <c r="G118" i="9"/>
  <c r="G106" i="9"/>
  <c r="G80" i="9"/>
  <c r="G71" i="9"/>
  <c r="G66" i="9"/>
  <c r="G63" i="9"/>
  <c r="G58" i="9"/>
  <c r="G54" i="9"/>
  <c r="G56" i="9"/>
  <c r="G42" i="9"/>
  <c r="G39" i="9"/>
  <c r="G29" i="9"/>
  <c r="G18" i="9"/>
  <c r="G20" i="9"/>
  <c r="E239" i="11" l="1"/>
  <c r="G240" i="11"/>
  <c r="AB233" i="9"/>
  <c r="E111" i="11"/>
  <c r="G111" i="11" s="1"/>
  <c r="AB570" i="9"/>
  <c r="Z569" i="9"/>
  <c r="AB569" i="9" s="1"/>
  <c r="AB556" i="9"/>
  <c r="E142" i="11"/>
  <c r="Z263" i="9"/>
  <c r="AB264" i="9"/>
  <c r="Z192" i="9"/>
  <c r="AB193" i="9"/>
  <c r="Z127" i="9"/>
  <c r="AB128" i="9"/>
  <c r="Z278" i="9"/>
  <c r="AB279" i="9"/>
  <c r="Z115" i="9"/>
  <c r="AB116" i="9"/>
  <c r="X569" i="9"/>
  <c r="X568" i="9" s="1"/>
  <c r="X567" i="9" s="1"/>
  <c r="X562" i="9" s="1"/>
  <c r="Z568" i="9"/>
  <c r="X230" i="9"/>
  <c r="Z231" i="9"/>
  <c r="X227" i="9"/>
  <c r="X226" i="9" s="1"/>
  <c r="Z228" i="9"/>
  <c r="X404" i="9"/>
  <c r="Z405" i="9"/>
  <c r="X148" i="9"/>
  <c r="Z149" i="9"/>
  <c r="X288" i="9"/>
  <c r="Z289" i="9"/>
  <c r="X244" i="9"/>
  <c r="Z245" i="9"/>
  <c r="X506" i="9"/>
  <c r="Z507" i="9"/>
  <c r="X247" i="9"/>
  <c r="Z248" i="9"/>
  <c r="Z48" i="9"/>
  <c r="AB48" i="9" s="1"/>
  <c r="X114" i="9"/>
  <c r="X553" i="9"/>
  <c r="Z553" i="9"/>
  <c r="AB553" i="9" s="1"/>
  <c r="X260" i="9"/>
  <c r="X259" i="9" s="1"/>
  <c r="Z261" i="9"/>
  <c r="M110" i="9"/>
  <c r="S293" i="9"/>
  <c r="S292" i="9" s="1"/>
  <c r="V294" i="9"/>
  <c r="X400" i="9"/>
  <c r="Z400" i="9" s="1"/>
  <c r="AB400" i="9" s="1"/>
  <c r="S537" i="9"/>
  <c r="V538" i="9"/>
  <c r="S539" i="9"/>
  <c r="V540" i="9"/>
  <c r="S130" i="9"/>
  <c r="V131" i="9"/>
  <c r="V287" i="9"/>
  <c r="V500" i="9"/>
  <c r="X345" i="9"/>
  <c r="V344" i="9"/>
  <c r="S106" i="9"/>
  <c r="S105" i="9" s="1"/>
  <c r="S88" i="9" s="1"/>
  <c r="V107" i="9"/>
  <c r="S66" i="9"/>
  <c r="V67" i="9"/>
  <c r="S20" i="9"/>
  <c r="V21" i="9"/>
  <c r="X409" i="9"/>
  <c r="V408" i="9"/>
  <c r="X252" i="9"/>
  <c r="V251" i="9"/>
  <c r="X48" i="9"/>
  <c r="X323" i="9"/>
  <c r="V322" i="9"/>
  <c r="V321" i="9" s="1"/>
  <c r="O143" i="9"/>
  <c r="O124" i="9"/>
  <c r="Q50" i="9"/>
  <c r="S51" i="9"/>
  <c r="V51" i="9" s="1"/>
  <c r="Q47" i="9"/>
  <c r="O535" i="9"/>
  <c r="Q536" i="9"/>
  <c r="O317" i="9"/>
  <c r="Q318" i="9"/>
  <c r="O429" i="9"/>
  <c r="O428" i="9" s="1"/>
  <c r="O427" i="9" s="1"/>
  <c r="Q430" i="9"/>
  <c r="O373" i="9"/>
  <c r="O372" i="9" s="1"/>
  <c r="Q374" i="9"/>
  <c r="O338" i="9"/>
  <c r="O337" i="9" s="1"/>
  <c r="O336" i="9" s="1"/>
  <c r="Q339" i="9"/>
  <c r="O313" i="9"/>
  <c r="Q314" i="9"/>
  <c r="O210" i="9"/>
  <c r="O209" i="9" s="1"/>
  <c r="Q211" i="9"/>
  <c r="O189" i="9"/>
  <c r="Q190" i="9"/>
  <c r="O71" i="9"/>
  <c r="O70" i="9" s="1"/>
  <c r="O69" i="9" s="1"/>
  <c r="Q72" i="9"/>
  <c r="O221" i="9"/>
  <c r="O220" i="9" s="1"/>
  <c r="O215" i="9" s="1"/>
  <c r="Q222" i="9"/>
  <c r="O207" i="9"/>
  <c r="O206" i="9" s="1"/>
  <c r="Q208" i="9"/>
  <c r="O196" i="9"/>
  <c r="Q197" i="9"/>
  <c r="O158" i="9"/>
  <c r="O157" i="9" s="1"/>
  <c r="O156" i="9" s="1"/>
  <c r="Q159" i="9"/>
  <c r="O137" i="9"/>
  <c r="O136" i="9" s="1"/>
  <c r="O135" i="9" s="1"/>
  <c r="Q138" i="9"/>
  <c r="O305" i="9"/>
  <c r="O304" i="9" s="1"/>
  <c r="Q306" i="9"/>
  <c r="O254" i="9"/>
  <c r="O250" i="9" s="1"/>
  <c r="O238" i="9" s="1"/>
  <c r="Q255" i="9"/>
  <c r="O122" i="9"/>
  <c r="O117" i="9" s="1"/>
  <c r="O110" i="9" s="1"/>
  <c r="Q123" i="9"/>
  <c r="O80" i="9"/>
  <c r="O74" i="9" s="1"/>
  <c r="O73" i="9" s="1"/>
  <c r="Q82" i="9"/>
  <c r="O63" i="9"/>
  <c r="O62" i="9" s="1"/>
  <c r="O61" i="9" s="1"/>
  <c r="O60" i="9" s="1"/>
  <c r="Q65" i="9"/>
  <c r="O58" i="9"/>
  <c r="Q59" i="9"/>
  <c r="O54" i="9"/>
  <c r="Q55" i="9"/>
  <c r="O393" i="9"/>
  <c r="Q394" i="9"/>
  <c r="O367" i="9"/>
  <c r="O366" i="9" s="1"/>
  <c r="O365" i="9" s="1"/>
  <c r="Q368" i="9"/>
  <c r="O342" i="9"/>
  <c r="O341" i="9" s="1"/>
  <c r="O340" i="9" s="1"/>
  <c r="Q343" i="9"/>
  <c r="O332" i="9"/>
  <c r="O329" i="9" s="1"/>
  <c r="O328" i="9" s="1"/>
  <c r="Q333" i="9"/>
  <c r="O311" i="9"/>
  <c r="O310" i="9" s="1"/>
  <c r="O309" i="9" s="1"/>
  <c r="Q312" i="9"/>
  <c r="O383" i="9"/>
  <c r="Q384" i="9"/>
  <c r="Q105" i="9"/>
  <c r="Q88" i="9" s="1"/>
  <c r="S201" i="9"/>
  <c r="Q200" i="9"/>
  <c r="Q153" i="9"/>
  <c r="S154" i="9"/>
  <c r="S44" i="9"/>
  <c r="Q42" i="9"/>
  <c r="S522" i="9"/>
  <c r="Q521" i="9"/>
  <c r="Q145" i="9"/>
  <c r="S146" i="9"/>
  <c r="Q133" i="9"/>
  <c r="S134" i="9"/>
  <c r="Q125" i="9"/>
  <c r="S126" i="9"/>
  <c r="S119" i="9"/>
  <c r="Q118" i="9"/>
  <c r="S57" i="9"/>
  <c r="Q56" i="9"/>
  <c r="Q52" i="9"/>
  <c r="S53" i="9"/>
  <c r="Q35" i="9"/>
  <c r="S36" i="9"/>
  <c r="S552" i="9"/>
  <c r="Q551" i="9"/>
  <c r="S520" i="9"/>
  <c r="Q519" i="9"/>
  <c r="Q412" i="9"/>
  <c r="S413" i="9"/>
  <c r="Q356" i="9"/>
  <c r="S357" i="9"/>
  <c r="Q292" i="9"/>
  <c r="O316" i="9"/>
  <c r="O315" i="9" s="1"/>
  <c r="G172" i="9"/>
  <c r="M214" i="9"/>
  <c r="O50" i="9"/>
  <c r="O47" i="9"/>
  <c r="M417" i="9"/>
  <c r="M416" i="9" s="1"/>
  <c r="M415" i="9" s="1"/>
  <c r="M414" i="9" s="1"/>
  <c r="O418" i="9"/>
  <c r="M310" i="9"/>
  <c r="M309" i="9" s="1"/>
  <c r="M379" i="9"/>
  <c r="M378" i="9" s="1"/>
  <c r="O380" i="9"/>
  <c r="M39" i="9"/>
  <c r="M38" i="9" s="1"/>
  <c r="O40" i="9"/>
  <c r="M529" i="9"/>
  <c r="M524" i="9" s="1"/>
  <c r="M523" i="9" s="1"/>
  <c r="O530" i="9"/>
  <c r="M205" i="9"/>
  <c r="K446" i="9"/>
  <c r="K445" i="9" s="1"/>
  <c r="K436" i="9" s="1"/>
  <c r="K435" i="9" s="1"/>
  <c r="K431" i="9" s="1"/>
  <c r="M447" i="9"/>
  <c r="K461" i="9"/>
  <c r="K460" i="9" s="1"/>
  <c r="K459" i="9" s="1"/>
  <c r="K458" i="9" s="1"/>
  <c r="K454" i="9" s="1"/>
  <c r="M462" i="9"/>
  <c r="K511" i="9"/>
  <c r="K510" i="9" s="1"/>
  <c r="K509" i="9" s="1"/>
  <c r="K468" i="9" s="1"/>
  <c r="K467" i="9" s="1"/>
  <c r="M512" i="9"/>
  <c r="K578" i="9"/>
  <c r="K577" i="9" s="1"/>
  <c r="K576" i="9" s="1"/>
  <c r="K575" i="9" s="1"/>
  <c r="M579" i="9"/>
  <c r="O579" i="9" s="1"/>
  <c r="M50" i="9"/>
  <c r="M47" i="9"/>
  <c r="K378" i="9"/>
  <c r="K415" i="9"/>
  <c r="K414" i="9" s="1"/>
  <c r="K50" i="9"/>
  <c r="K47" i="9"/>
  <c r="I172" i="9"/>
  <c r="K174" i="9"/>
  <c r="I185" i="9"/>
  <c r="K187" i="9"/>
  <c r="I416" i="9"/>
  <c r="I415" i="9" s="1"/>
  <c r="I414" i="9" s="1"/>
  <c r="G28" i="9"/>
  <c r="G27" i="9" s="1"/>
  <c r="I29" i="9"/>
  <c r="G17" i="9"/>
  <c r="G16" i="9" s="1"/>
  <c r="G15" i="9" s="1"/>
  <c r="G14" i="9" s="1"/>
  <c r="I18" i="9"/>
  <c r="G169" i="9"/>
  <c r="I170" i="9"/>
  <c r="G176" i="9"/>
  <c r="I177" i="9"/>
  <c r="G182" i="9"/>
  <c r="G181" i="9" s="1"/>
  <c r="G180" i="9" s="1"/>
  <c r="I183" i="9"/>
  <c r="G399" i="9"/>
  <c r="I401" i="9"/>
  <c r="G157" i="9"/>
  <c r="G156" i="9" s="1"/>
  <c r="G320" i="9"/>
  <c r="G319" i="9" s="1"/>
  <c r="G329" i="9"/>
  <c r="G328" i="9" s="1"/>
  <c r="G341" i="9"/>
  <c r="G340" i="9" s="1"/>
  <c r="G337" i="9"/>
  <c r="G336" i="9" s="1"/>
  <c r="G147" i="9"/>
  <c r="G124" i="9"/>
  <c r="G144" i="9"/>
  <c r="G366" i="9"/>
  <c r="G365" i="9" s="1"/>
  <c r="G136" i="9"/>
  <c r="G135" i="9" s="1"/>
  <c r="G70" i="9"/>
  <c r="G69" i="9" s="1"/>
  <c r="G105" i="9"/>
  <c r="G88" i="9" s="1"/>
  <c r="G209" i="9"/>
  <c r="G205" i="9" s="1"/>
  <c r="G74" i="9"/>
  <c r="G73" i="9" s="1"/>
  <c r="G117" i="9"/>
  <c r="G110" i="9" s="1"/>
  <c r="G34" i="9"/>
  <c r="G62" i="9"/>
  <c r="G250" i="9"/>
  <c r="G243" i="9"/>
  <c r="G378" i="9"/>
  <c r="G38" i="9"/>
  <c r="E236" i="11" l="1"/>
  <c r="G236" i="11" s="1"/>
  <c r="G239" i="11"/>
  <c r="E141" i="11"/>
  <c r="G141" i="11" s="1"/>
  <c r="G142" i="11"/>
  <c r="Z247" i="9"/>
  <c r="AB247" i="9" s="1"/>
  <c r="AB248" i="9"/>
  <c r="Z506" i="9"/>
  <c r="AB506" i="9" s="1"/>
  <c r="AB507" i="9"/>
  <c r="Z244" i="9"/>
  <c r="AB244" i="9" s="1"/>
  <c r="AB245" i="9"/>
  <c r="Z288" i="9"/>
  <c r="Z148" i="9"/>
  <c r="AB149" i="9"/>
  <c r="Z404" i="9"/>
  <c r="AB405" i="9"/>
  <c r="Z227" i="9"/>
  <c r="AB228" i="9"/>
  <c r="Z230" i="9"/>
  <c r="AB230" i="9" s="1"/>
  <c r="AB231" i="9"/>
  <c r="Z567" i="9"/>
  <c r="AB567" i="9" s="1"/>
  <c r="AB568" i="9"/>
  <c r="Z260" i="9"/>
  <c r="AB261" i="9"/>
  <c r="Z114" i="9"/>
  <c r="AB114" i="9" s="1"/>
  <c r="AB115" i="9"/>
  <c r="E117" i="11"/>
  <c r="G117" i="11" s="1"/>
  <c r="E135" i="11"/>
  <c r="AB278" i="9"/>
  <c r="AB127" i="9"/>
  <c r="E160" i="11"/>
  <c r="G160" i="11" s="1"/>
  <c r="AB192" i="9"/>
  <c r="AB263" i="9"/>
  <c r="E127" i="11"/>
  <c r="Z562" i="9"/>
  <c r="AB562" i="9" s="1"/>
  <c r="E75" i="11"/>
  <c r="X322" i="9"/>
  <c r="X321" i="9" s="1"/>
  <c r="Z323" i="9"/>
  <c r="X344" i="9"/>
  <c r="Z345" i="9"/>
  <c r="AB345" i="9" s="1"/>
  <c r="X500" i="9"/>
  <c r="X287" i="9"/>
  <c r="X243" i="9"/>
  <c r="X251" i="9"/>
  <c r="Z252" i="9"/>
  <c r="X408" i="9"/>
  <c r="Z409" i="9"/>
  <c r="Z243" i="9"/>
  <c r="G168" i="9"/>
  <c r="S356" i="9"/>
  <c r="S355" i="9" s="1"/>
  <c r="S354" i="9" s="1"/>
  <c r="V357" i="9"/>
  <c r="S412" i="9"/>
  <c r="V413" i="9"/>
  <c r="S35" i="9"/>
  <c r="S34" i="9" s="1"/>
  <c r="V36" i="9"/>
  <c r="S52" i="9"/>
  <c r="V53" i="9"/>
  <c r="S125" i="9"/>
  <c r="V126" i="9"/>
  <c r="S133" i="9"/>
  <c r="V134" i="9"/>
  <c r="S145" i="9"/>
  <c r="S144" i="9" s="1"/>
  <c r="V146" i="9"/>
  <c r="S153" i="9"/>
  <c r="S147" i="9" s="1"/>
  <c r="V154" i="9"/>
  <c r="X51" i="9"/>
  <c r="Z51" i="9" s="1"/>
  <c r="AB51" i="9" s="1"/>
  <c r="V50" i="9"/>
  <c r="V47" i="9"/>
  <c r="X21" i="9"/>
  <c r="V20" i="9"/>
  <c r="X67" i="9"/>
  <c r="V66" i="9"/>
  <c r="X107" i="9"/>
  <c r="Z107" i="9" s="1"/>
  <c r="AB107" i="9" s="1"/>
  <c r="V106" i="9"/>
  <c r="S519" i="9"/>
  <c r="V520" i="9"/>
  <c r="S551" i="9"/>
  <c r="S546" i="9" s="1"/>
  <c r="S545" i="9" s="1"/>
  <c r="V552" i="9"/>
  <c r="S56" i="9"/>
  <c r="V57" i="9"/>
  <c r="S118" i="9"/>
  <c r="V119" i="9"/>
  <c r="S521" i="9"/>
  <c r="V522" i="9"/>
  <c r="S200" i="9"/>
  <c r="S199" i="9" s="1"/>
  <c r="S198" i="9" s="1"/>
  <c r="V201" i="9"/>
  <c r="X131" i="9"/>
  <c r="V130" i="9"/>
  <c r="X540" i="9"/>
  <c r="V539" i="9"/>
  <c r="X538" i="9"/>
  <c r="V537" i="9"/>
  <c r="X294" i="9"/>
  <c r="V293" i="9"/>
  <c r="V320" i="9"/>
  <c r="V319" i="9" s="1"/>
  <c r="S42" i="9"/>
  <c r="V44" i="9"/>
  <c r="O214" i="9"/>
  <c r="O578" i="9"/>
  <c r="O577" i="9" s="1"/>
  <c r="O576" i="9" s="1"/>
  <c r="O575" i="9" s="1"/>
  <c r="Q579" i="9"/>
  <c r="O417" i="9"/>
  <c r="O416" i="9" s="1"/>
  <c r="O415" i="9" s="1"/>
  <c r="O414" i="9" s="1"/>
  <c r="Q418" i="9"/>
  <c r="Q518" i="9"/>
  <c r="Q546" i="9"/>
  <c r="Q545" i="9" s="1"/>
  <c r="Q199" i="9"/>
  <c r="Q198" i="9" s="1"/>
  <c r="Q383" i="9"/>
  <c r="S384" i="9"/>
  <c r="S312" i="9"/>
  <c r="Q311" i="9"/>
  <c r="S333" i="9"/>
  <c r="Q332" i="9"/>
  <c r="Q342" i="9"/>
  <c r="S343" i="9"/>
  <c r="S368" i="9"/>
  <c r="Q367" i="9"/>
  <c r="Q393" i="9"/>
  <c r="S394" i="9"/>
  <c r="Q54" i="9"/>
  <c r="S55" i="9"/>
  <c r="Q58" i="9"/>
  <c r="S59" i="9"/>
  <c r="S65" i="9"/>
  <c r="Q63" i="9"/>
  <c r="Q62" i="9" s="1"/>
  <c r="Q80" i="9"/>
  <c r="S82" i="9"/>
  <c r="S123" i="9"/>
  <c r="Q122" i="9"/>
  <c r="Q117" i="9" s="1"/>
  <c r="S255" i="9"/>
  <c r="Q254" i="9"/>
  <c r="Q250" i="9" s="1"/>
  <c r="S306" i="9"/>
  <c r="Q305" i="9"/>
  <c r="Q137" i="9"/>
  <c r="S138" i="9"/>
  <c r="Q158" i="9"/>
  <c r="S159" i="9"/>
  <c r="S197" i="9"/>
  <c r="Q196" i="9"/>
  <c r="Q207" i="9"/>
  <c r="S208" i="9"/>
  <c r="Q221" i="9"/>
  <c r="S222" i="9"/>
  <c r="Q71" i="9"/>
  <c r="S72" i="9"/>
  <c r="Q189" i="9"/>
  <c r="S190" i="9"/>
  <c r="S211" i="9"/>
  <c r="Q210" i="9"/>
  <c r="S314" i="9"/>
  <c r="Q313" i="9"/>
  <c r="S339" i="9"/>
  <c r="Q338" i="9"/>
  <c r="S374" i="9"/>
  <c r="Q373" i="9"/>
  <c r="Q372" i="9" s="1"/>
  <c r="Q429" i="9"/>
  <c r="S430" i="9"/>
  <c r="S318" i="9"/>
  <c r="Q317" i="9"/>
  <c r="S536" i="9"/>
  <c r="Q535" i="9"/>
  <c r="G143" i="9"/>
  <c r="O529" i="9"/>
  <c r="O524" i="9" s="1"/>
  <c r="O523" i="9" s="1"/>
  <c r="Q530" i="9"/>
  <c r="O39" i="9"/>
  <c r="O38" i="9" s="1"/>
  <c r="O37" i="9" s="1"/>
  <c r="Q40" i="9"/>
  <c r="O379" i="9"/>
  <c r="O378" i="9" s="1"/>
  <c r="Q380" i="9"/>
  <c r="Q355" i="9"/>
  <c r="Q354" i="9" s="1"/>
  <c r="Q34" i="9"/>
  <c r="Q124" i="9"/>
  <c r="Q144" i="9"/>
  <c r="Q147" i="9"/>
  <c r="S50" i="9"/>
  <c r="S47" i="9"/>
  <c r="O205" i="9"/>
  <c r="M511" i="9"/>
  <c r="M510" i="9" s="1"/>
  <c r="M509" i="9" s="1"/>
  <c r="M468" i="9" s="1"/>
  <c r="M467" i="9" s="1"/>
  <c r="O512" i="9"/>
  <c r="Q512" i="9" s="1"/>
  <c r="M461" i="9"/>
  <c r="M460" i="9" s="1"/>
  <c r="M459" i="9" s="1"/>
  <c r="M458" i="9" s="1"/>
  <c r="M454" i="9" s="1"/>
  <c r="O462" i="9"/>
  <c r="M446" i="9"/>
  <c r="M445" i="9" s="1"/>
  <c r="O447" i="9"/>
  <c r="M37" i="9"/>
  <c r="M578" i="9"/>
  <c r="K185" i="9"/>
  <c r="M187" i="9"/>
  <c r="K172" i="9"/>
  <c r="M174" i="9"/>
  <c r="K37" i="9"/>
  <c r="I399" i="9"/>
  <c r="I398" i="9" s="1"/>
  <c r="I371" i="9" s="1"/>
  <c r="I353" i="9" s="1"/>
  <c r="K401" i="9"/>
  <c r="I182" i="9"/>
  <c r="I181" i="9" s="1"/>
  <c r="K183" i="9"/>
  <c r="I176" i="9"/>
  <c r="K177" i="9"/>
  <c r="I169" i="9"/>
  <c r="I168" i="9" s="1"/>
  <c r="I167" i="9" s="1"/>
  <c r="I166" i="9" s="1"/>
  <c r="I165" i="9" s="1"/>
  <c r="K170" i="9"/>
  <c r="I17" i="9"/>
  <c r="I16" i="9" s="1"/>
  <c r="I15" i="9" s="1"/>
  <c r="K18" i="9"/>
  <c r="I28" i="9"/>
  <c r="I27" i="9" s="1"/>
  <c r="K29" i="9"/>
  <c r="G398" i="9"/>
  <c r="G371" i="9" s="1"/>
  <c r="G353" i="9" s="1"/>
  <c r="G37" i="9"/>
  <c r="G13" i="9" s="1"/>
  <c r="G61" i="9"/>
  <c r="G60" i="9" s="1"/>
  <c r="G167" i="9"/>
  <c r="G166" i="9" s="1"/>
  <c r="G165" i="9" s="1"/>
  <c r="G238" i="9"/>
  <c r="G214" i="9" s="1"/>
  <c r="G179" i="9"/>
  <c r="E73" i="11" l="1"/>
  <c r="G73" i="11" s="1"/>
  <c r="G75" i="11"/>
  <c r="E126" i="11"/>
  <c r="G126" i="11" s="1"/>
  <c r="G127" i="11"/>
  <c r="E131" i="11"/>
  <c r="G131" i="11" s="1"/>
  <c r="G135" i="11"/>
  <c r="Z500" i="9"/>
  <c r="AB500" i="9" s="1"/>
  <c r="I180" i="9"/>
  <c r="I179" i="9" s="1"/>
  <c r="I178" i="9" s="1"/>
  <c r="E120" i="11"/>
  <c r="G120" i="11" s="1"/>
  <c r="AB243" i="9"/>
  <c r="Z259" i="9"/>
  <c r="AB260" i="9"/>
  <c r="Z226" i="9"/>
  <c r="AB227" i="9"/>
  <c r="AB404" i="9"/>
  <c r="E210" i="11"/>
  <c r="G210" i="11" s="1"/>
  <c r="E206" i="11"/>
  <c r="G206" i="11" s="1"/>
  <c r="AB148" i="9"/>
  <c r="Z287" i="9"/>
  <c r="AB287" i="9" s="1"/>
  <c r="AB288" i="9"/>
  <c r="E145" i="11"/>
  <c r="Z408" i="9"/>
  <c r="AB409" i="9"/>
  <c r="Z251" i="9"/>
  <c r="Z322" i="9"/>
  <c r="AB323" i="9"/>
  <c r="E38" i="11"/>
  <c r="Z344" i="9"/>
  <c r="AB344" i="9" s="1"/>
  <c r="E235" i="11"/>
  <c r="X293" i="9"/>
  <c r="Z294" i="9"/>
  <c r="X537" i="9"/>
  <c r="Z538" i="9"/>
  <c r="X539" i="9"/>
  <c r="Z540" i="9"/>
  <c r="X130" i="9"/>
  <c r="Z131" i="9"/>
  <c r="X106" i="9"/>
  <c r="Z106" i="9"/>
  <c r="AB106" i="9" s="1"/>
  <c r="X66" i="9"/>
  <c r="Z67" i="9"/>
  <c r="X20" i="9"/>
  <c r="Z21" i="9"/>
  <c r="X320" i="9"/>
  <c r="X319" i="9" s="1"/>
  <c r="Z50" i="9"/>
  <c r="AB50" i="9" s="1"/>
  <c r="Z47" i="9"/>
  <c r="S429" i="9"/>
  <c r="S428" i="9" s="1"/>
  <c r="S427" i="9" s="1"/>
  <c r="V430" i="9"/>
  <c r="S189" i="9"/>
  <c r="V190" i="9"/>
  <c r="S71" i="9"/>
  <c r="S70" i="9" s="1"/>
  <c r="S69" i="9" s="1"/>
  <c r="V72" i="9"/>
  <c r="S221" i="9"/>
  <c r="S220" i="9" s="1"/>
  <c r="S215" i="9" s="1"/>
  <c r="V222" i="9"/>
  <c r="S207" i="9"/>
  <c r="S206" i="9" s="1"/>
  <c r="V208" i="9"/>
  <c r="S158" i="9"/>
  <c r="V159" i="9"/>
  <c r="S137" i="9"/>
  <c r="S136" i="9" s="1"/>
  <c r="S135" i="9" s="1"/>
  <c r="V138" i="9"/>
  <c r="S80" i="9"/>
  <c r="S74" i="9" s="1"/>
  <c r="S73" i="9" s="1"/>
  <c r="V82" i="9"/>
  <c r="S58" i="9"/>
  <c r="V59" i="9"/>
  <c r="S54" i="9"/>
  <c r="V55" i="9"/>
  <c r="S393" i="9"/>
  <c r="V394" i="9"/>
  <c r="S342" i="9"/>
  <c r="S341" i="9" s="1"/>
  <c r="S340" i="9" s="1"/>
  <c r="V343" i="9"/>
  <c r="S383" i="9"/>
  <c r="V384" i="9"/>
  <c r="X201" i="9"/>
  <c r="V200" i="9"/>
  <c r="X522" i="9"/>
  <c r="V521" i="9"/>
  <c r="X119" i="9"/>
  <c r="V118" i="9"/>
  <c r="X57" i="9"/>
  <c r="V56" i="9"/>
  <c r="X552" i="9"/>
  <c r="Z552" i="9" s="1"/>
  <c r="AB552" i="9" s="1"/>
  <c r="V551" i="9"/>
  <c r="X520" i="9"/>
  <c r="V519" i="9"/>
  <c r="V105" i="9"/>
  <c r="V88" i="9" s="1"/>
  <c r="X50" i="9"/>
  <c r="X47" i="9"/>
  <c r="S143" i="9"/>
  <c r="S124" i="9"/>
  <c r="S535" i="9"/>
  <c r="V536" i="9"/>
  <c r="S317" i="9"/>
  <c r="S316" i="9" s="1"/>
  <c r="S315" i="9" s="1"/>
  <c r="V318" i="9"/>
  <c r="S373" i="9"/>
  <c r="S372" i="9" s="1"/>
  <c r="V374" i="9"/>
  <c r="S338" i="9"/>
  <c r="S337" i="9" s="1"/>
  <c r="S336" i="9" s="1"/>
  <c r="V339" i="9"/>
  <c r="S313" i="9"/>
  <c r="V314" i="9"/>
  <c r="S210" i="9"/>
  <c r="S209" i="9" s="1"/>
  <c r="V211" i="9"/>
  <c r="S196" i="9"/>
  <c r="V197" i="9"/>
  <c r="S305" i="9"/>
  <c r="S304" i="9" s="1"/>
  <c r="V306" i="9"/>
  <c r="S254" i="9"/>
  <c r="S250" i="9" s="1"/>
  <c r="S238" i="9" s="1"/>
  <c r="V255" i="9"/>
  <c r="S122" i="9"/>
  <c r="S117" i="9" s="1"/>
  <c r="V123" i="9"/>
  <c r="S63" i="9"/>
  <c r="S62" i="9" s="1"/>
  <c r="S61" i="9" s="1"/>
  <c r="S60" i="9" s="1"/>
  <c r="V65" i="9"/>
  <c r="S367" i="9"/>
  <c r="S366" i="9" s="1"/>
  <c r="S365" i="9" s="1"/>
  <c r="V368" i="9"/>
  <c r="S332" i="9"/>
  <c r="S329" i="9" s="1"/>
  <c r="S328" i="9" s="1"/>
  <c r="V333" i="9"/>
  <c r="S311" i="9"/>
  <c r="S310" i="9" s="1"/>
  <c r="S309" i="9" s="1"/>
  <c r="V312" i="9"/>
  <c r="V292" i="9"/>
  <c r="X154" i="9"/>
  <c r="V153" i="9"/>
  <c r="X146" i="9"/>
  <c r="V145" i="9"/>
  <c r="X134" i="9"/>
  <c r="V133" i="9"/>
  <c r="X126" i="9"/>
  <c r="Z126" i="9" s="1"/>
  <c r="V125" i="9"/>
  <c r="X53" i="9"/>
  <c r="V52" i="9"/>
  <c r="X36" i="9"/>
  <c r="V35" i="9"/>
  <c r="X413" i="9"/>
  <c r="V412" i="9"/>
  <c r="X357" i="9"/>
  <c r="V356" i="9"/>
  <c r="S518" i="9"/>
  <c r="X44" i="9"/>
  <c r="V42" i="9"/>
  <c r="Q143" i="9"/>
  <c r="Q110" i="9"/>
  <c r="Q379" i="9"/>
  <c r="S380" i="9"/>
  <c r="Q39" i="9"/>
  <c r="Q38" i="9" s="1"/>
  <c r="S40" i="9"/>
  <c r="S530" i="9"/>
  <c r="Q529" i="9"/>
  <c r="Q428" i="9"/>
  <c r="Q427" i="9" s="1"/>
  <c r="Q70" i="9"/>
  <c r="Q69" i="9" s="1"/>
  <c r="Q220" i="9"/>
  <c r="Q215" i="9" s="1"/>
  <c r="Q206" i="9"/>
  <c r="Q157" i="9"/>
  <c r="Q156" i="9" s="1"/>
  <c r="Q136" i="9"/>
  <c r="Q135" i="9" s="1"/>
  <c r="Q74" i="9"/>
  <c r="Q73" i="9" s="1"/>
  <c r="Q341" i="9"/>
  <c r="Q340" i="9" s="1"/>
  <c r="O446" i="9"/>
  <c r="O445" i="9" s="1"/>
  <c r="Q447" i="9"/>
  <c r="O461" i="9"/>
  <c r="O460" i="9" s="1"/>
  <c r="O459" i="9" s="1"/>
  <c r="O458" i="9" s="1"/>
  <c r="O454" i="9" s="1"/>
  <c r="Q462" i="9"/>
  <c r="Q511" i="9"/>
  <c r="S512" i="9"/>
  <c r="Q316" i="9"/>
  <c r="Q315" i="9" s="1"/>
  <c r="Q337" i="9"/>
  <c r="Q336" i="9" s="1"/>
  <c r="Q209" i="9"/>
  <c r="S157" i="9"/>
  <c r="S156" i="9" s="1"/>
  <c r="Q304" i="9"/>
  <c r="Q238" i="9"/>
  <c r="Q61" i="9"/>
  <c r="Q60" i="9" s="1"/>
  <c r="Q366" i="9"/>
  <c r="Q365" i="9" s="1"/>
  <c r="Q329" i="9"/>
  <c r="Q328" i="9" s="1"/>
  <c r="S418" i="9"/>
  <c r="Q417" i="9"/>
  <c r="Q416" i="9" s="1"/>
  <c r="Q415" i="9" s="1"/>
  <c r="S579" i="9"/>
  <c r="Q578" i="9"/>
  <c r="Q310" i="9"/>
  <c r="Q309" i="9" s="1"/>
  <c r="O436" i="9"/>
  <c r="O435" i="9" s="1"/>
  <c r="O431" i="9" s="1"/>
  <c r="O511" i="9"/>
  <c r="M436" i="9"/>
  <c r="M435" i="9" s="1"/>
  <c r="M431" i="9" s="1"/>
  <c r="M172" i="9"/>
  <c r="O174" i="9"/>
  <c r="M185" i="9"/>
  <c r="O187" i="9"/>
  <c r="M577" i="9"/>
  <c r="M576" i="9" s="1"/>
  <c r="M575" i="9" s="1"/>
  <c r="K17" i="9"/>
  <c r="M18" i="9"/>
  <c r="K169" i="9"/>
  <c r="K168" i="9" s="1"/>
  <c r="M170" i="9"/>
  <c r="K176" i="9"/>
  <c r="M177" i="9"/>
  <c r="K182" i="9"/>
  <c r="K181" i="9" s="1"/>
  <c r="M183" i="9"/>
  <c r="M401" i="9"/>
  <c r="K399" i="9"/>
  <c r="K398" i="9" s="1"/>
  <c r="K371" i="9" s="1"/>
  <c r="K353" i="9" s="1"/>
  <c r="K28" i="9"/>
  <c r="K27" i="9" s="1"/>
  <c r="M29" i="9"/>
  <c r="K167" i="9"/>
  <c r="K166" i="9" s="1"/>
  <c r="K165" i="9" s="1"/>
  <c r="I14" i="9"/>
  <c r="I13" i="9" s="1"/>
  <c r="I12" i="9" s="1"/>
  <c r="K180" i="9"/>
  <c r="G12" i="9"/>
  <c r="G178" i="9"/>
  <c r="E144" i="11" l="1"/>
  <c r="G145" i="11"/>
  <c r="E234" i="11"/>
  <c r="G234" i="11" s="1"/>
  <c r="G235" i="11"/>
  <c r="E37" i="11"/>
  <c r="G37" i="11" s="1"/>
  <c r="G38" i="11"/>
  <c r="Z20" i="9"/>
  <c r="AB20" i="9" s="1"/>
  <c r="AB21" i="9"/>
  <c r="Z66" i="9"/>
  <c r="AB66" i="9" s="1"/>
  <c r="AB67" i="9"/>
  <c r="Z130" i="9"/>
  <c r="AB130" i="9" s="1"/>
  <c r="AB131" i="9"/>
  <c r="E163" i="11"/>
  <c r="G163" i="11" s="1"/>
  <c r="Z539" i="9"/>
  <c r="Z537" i="9"/>
  <c r="AB538" i="9"/>
  <c r="Z293" i="9"/>
  <c r="AB294" i="9"/>
  <c r="Z321" i="9"/>
  <c r="AB322" i="9"/>
  <c r="AB408" i="9"/>
  <c r="E211" i="11"/>
  <c r="G211" i="11" s="1"/>
  <c r="I586" i="9"/>
  <c r="K587" i="9" s="1"/>
  <c r="K179" i="9"/>
  <c r="K178" i="9" s="1"/>
  <c r="AB47" i="9"/>
  <c r="E110" i="11"/>
  <c r="G110" i="11" s="1"/>
  <c r="AB226" i="9"/>
  <c r="E125" i="11"/>
  <c r="AB259" i="9"/>
  <c r="Z105" i="9"/>
  <c r="E102" i="11"/>
  <c r="G102" i="11" s="1"/>
  <c r="X356" i="9"/>
  <c r="Z357" i="9"/>
  <c r="X412" i="9"/>
  <c r="Z413" i="9"/>
  <c r="X35" i="9"/>
  <c r="Z36" i="9"/>
  <c r="X52" i="9"/>
  <c r="Z53" i="9"/>
  <c r="X125" i="9"/>
  <c r="X133" i="9"/>
  <c r="Z134" i="9"/>
  <c r="X145" i="9"/>
  <c r="Z146" i="9"/>
  <c r="X153" i="9"/>
  <c r="Z154" i="9"/>
  <c r="X105" i="9"/>
  <c r="X88" i="9" s="1"/>
  <c r="X42" i="9"/>
  <c r="Z44" i="9"/>
  <c r="X519" i="9"/>
  <c r="Z520" i="9"/>
  <c r="X551" i="9"/>
  <c r="Z551" i="9"/>
  <c r="AB551" i="9" s="1"/>
  <c r="X56" i="9"/>
  <c r="Z57" i="9"/>
  <c r="X118" i="9"/>
  <c r="Z119" i="9"/>
  <c r="X521" i="9"/>
  <c r="Z522" i="9"/>
  <c r="X200" i="9"/>
  <c r="Z201" i="9"/>
  <c r="X292" i="9"/>
  <c r="X546" i="9"/>
  <c r="X545" i="9" s="1"/>
  <c r="S205" i="9"/>
  <c r="S214" i="9"/>
  <c r="S529" i="9"/>
  <c r="S524" i="9" s="1"/>
  <c r="S523" i="9" s="1"/>
  <c r="V530" i="9"/>
  <c r="V355" i="9"/>
  <c r="V354" i="9" s="1"/>
  <c r="V34" i="9"/>
  <c r="V124" i="9"/>
  <c r="V144" i="9"/>
  <c r="V147" i="9"/>
  <c r="X312" i="9"/>
  <c r="V311" i="9"/>
  <c r="X333" i="9"/>
  <c r="V332" i="9"/>
  <c r="X368" i="9"/>
  <c r="V367" i="9"/>
  <c r="X65" i="9"/>
  <c r="V63" i="9"/>
  <c r="V62" i="9" s="1"/>
  <c r="X123" i="9"/>
  <c r="V122" i="9"/>
  <c r="X255" i="9"/>
  <c r="V254" i="9"/>
  <c r="V250" i="9" s="1"/>
  <c r="X306" i="9"/>
  <c r="V305" i="9"/>
  <c r="X197" i="9"/>
  <c r="V196" i="9"/>
  <c r="X211" i="9"/>
  <c r="V210" i="9"/>
  <c r="X314" i="9"/>
  <c r="V313" i="9"/>
  <c r="X339" i="9"/>
  <c r="V338" i="9"/>
  <c r="X374" i="9"/>
  <c r="V373" i="9"/>
  <c r="V372" i="9" s="1"/>
  <c r="X318" i="9"/>
  <c r="V317" i="9"/>
  <c r="X536" i="9"/>
  <c r="V535" i="9"/>
  <c r="S578" i="9"/>
  <c r="S577" i="9" s="1"/>
  <c r="S576" i="9" s="1"/>
  <c r="S575" i="9" s="1"/>
  <c r="V579" i="9"/>
  <c r="S417" i="9"/>
  <c r="S416" i="9" s="1"/>
  <c r="S415" i="9" s="1"/>
  <c r="S414" i="9" s="1"/>
  <c r="V418" i="9"/>
  <c r="S511" i="9"/>
  <c r="S510" i="9" s="1"/>
  <c r="S509" i="9" s="1"/>
  <c r="S468" i="9" s="1"/>
  <c r="V512" i="9"/>
  <c r="S39" i="9"/>
  <c r="S38" i="9" s="1"/>
  <c r="S37" i="9" s="1"/>
  <c r="V40" i="9"/>
  <c r="S379" i="9"/>
  <c r="S378" i="9" s="1"/>
  <c r="V380" i="9"/>
  <c r="V518" i="9"/>
  <c r="V546" i="9"/>
  <c r="V545" i="9" s="1"/>
  <c r="V117" i="9"/>
  <c r="V199" i="9"/>
  <c r="V198" i="9" s="1"/>
  <c r="X384" i="9"/>
  <c r="V383" i="9"/>
  <c r="X343" i="9"/>
  <c r="V342" i="9"/>
  <c r="X394" i="9"/>
  <c r="V393" i="9"/>
  <c r="X55" i="9"/>
  <c r="V54" i="9"/>
  <c r="X59" i="9"/>
  <c r="V58" i="9"/>
  <c r="X82" i="9"/>
  <c r="V80" i="9"/>
  <c r="X138" i="9"/>
  <c r="V137" i="9"/>
  <c r="X159" i="9"/>
  <c r="V158" i="9"/>
  <c r="X208" i="9"/>
  <c r="V207" i="9"/>
  <c r="X222" i="9"/>
  <c r="V221" i="9"/>
  <c r="X72" i="9"/>
  <c r="V71" i="9"/>
  <c r="X190" i="9"/>
  <c r="V189" i="9"/>
  <c r="X430" i="9"/>
  <c r="V429" i="9"/>
  <c r="S110" i="9"/>
  <c r="Q414" i="9"/>
  <c r="O185" i="9"/>
  <c r="Q187" i="9"/>
  <c r="O172" i="9"/>
  <c r="Q174" i="9"/>
  <c r="Q510" i="9"/>
  <c r="Q509" i="9" s="1"/>
  <c r="Q468" i="9" s="1"/>
  <c r="Q37" i="9"/>
  <c r="Q378" i="9"/>
  <c r="Q205" i="9"/>
  <c r="Q214" i="9"/>
  <c r="Q577" i="9"/>
  <c r="Q576" i="9" s="1"/>
  <c r="Q575" i="9" s="1"/>
  <c r="Q461" i="9"/>
  <c r="S462" i="9"/>
  <c r="S447" i="9"/>
  <c r="Q446" i="9"/>
  <c r="Q445" i="9" s="1"/>
  <c r="Q524" i="9"/>
  <c r="Q523" i="9" s="1"/>
  <c r="O510" i="9"/>
  <c r="O509" i="9" s="1"/>
  <c r="O468" i="9" s="1"/>
  <c r="O467" i="9" s="1"/>
  <c r="M399" i="9"/>
  <c r="O401" i="9"/>
  <c r="M28" i="9"/>
  <c r="M27" i="9" s="1"/>
  <c r="O29" i="9"/>
  <c r="M182" i="9"/>
  <c r="M181" i="9" s="1"/>
  <c r="M180" i="9" s="1"/>
  <c r="O183" i="9"/>
  <c r="M176" i="9"/>
  <c r="O177" i="9"/>
  <c r="M169" i="9"/>
  <c r="M168" i="9" s="1"/>
  <c r="M167" i="9" s="1"/>
  <c r="M166" i="9" s="1"/>
  <c r="M165" i="9" s="1"/>
  <c r="O170" i="9"/>
  <c r="M17" i="9"/>
  <c r="M16" i="9" s="1"/>
  <c r="M15" i="9" s="1"/>
  <c r="M14" i="9" s="1"/>
  <c r="M13" i="9" s="1"/>
  <c r="M12" i="9" s="1"/>
  <c r="O18" i="9"/>
  <c r="M398" i="9"/>
  <c r="M371" i="9" s="1"/>
  <c r="M353" i="9" s="1"/>
  <c r="K16" i="9"/>
  <c r="K15" i="9" s="1"/>
  <c r="G586" i="9"/>
  <c r="E124" i="11" l="1"/>
  <c r="G124" i="11" s="1"/>
  <c r="G125" i="11"/>
  <c r="E143" i="11"/>
  <c r="G143" i="11" s="1"/>
  <c r="G144" i="11"/>
  <c r="M179" i="9"/>
  <c r="M178" i="9" s="1"/>
  <c r="M586" i="9" s="1"/>
  <c r="Z200" i="9"/>
  <c r="AB200" i="9" s="1"/>
  <c r="AB201" i="9"/>
  <c r="Z521" i="9"/>
  <c r="Z118" i="9"/>
  <c r="AB119" i="9"/>
  <c r="Z56" i="9"/>
  <c r="AB57" i="9"/>
  <c r="Z519" i="9"/>
  <c r="Z42" i="9"/>
  <c r="AB42" i="9" s="1"/>
  <c r="AB44" i="9"/>
  <c r="Z88" i="9"/>
  <c r="AB88" i="9" s="1"/>
  <c r="AB105" i="9"/>
  <c r="Z153" i="9"/>
  <c r="AB154" i="9"/>
  <c r="Z145" i="9"/>
  <c r="AB146" i="9"/>
  <c r="Z133" i="9"/>
  <c r="AB134" i="9"/>
  <c r="Z125" i="9"/>
  <c r="AB126" i="9"/>
  <c r="Z52" i="9"/>
  <c r="AB53" i="9"/>
  <c r="Z35" i="9"/>
  <c r="AB36" i="9"/>
  <c r="Z412" i="9"/>
  <c r="AB413" i="9"/>
  <c r="Z356" i="9"/>
  <c r="AB357" i="9"/>
  <c r="Z320" i="9"/>
  <c r="E219" i="11"/>
  <c r="G219" i="11" s="1"/>
  <c r="AB321" i="9"/>
  <c r="Z292" i="9"/>
  <c r="AB292" i="9" s="1"/>
  <c r="AB293" i="9"/>
  <c r="E151" i="11"/>
  <c r="E94" i="11"/>
  <c r="G94" i="11" s="1"/>
  <c r="AB537" i="9"/>
  <c r="Z546" i="9"/>
  <c r="E114" i="11"/>
  <c r="G114" i="11" s="1"/>
  <c r="E60" i="11"/>
  <c r="S467" i="9"/>
  <c r="X189" i="9"/>
  <c r="Z190" i="9"/>
  <c r="X71" i="9"/>
  <c r="Z72" i="9"/>
  <c r="X158" i="9"/>
  <c r="Z159" i="9"/>
  <c r="X80" i="9"/>
  <c r="Z82" i="9"/>
  <c r="X54" i="9"/>
  <c r="Z55" i="9"/>
  <c r="X342" i="9"/>
  <c r="Z343" i="9"/>
  <c r="X383" i="9"/>
  <c r="Z384" i="9"/>
  <c r="X317" i="9"/>
  <c r="Z318" i="9"/>
  <c r="X373" i="9"/>
  <c r="X372" i="9" s="1"/>
  <c r="Z374" i="9"/>
  <c r="X338" i="9"/>
  <c r="Z339" i="9"/>
  <c r="X313" i="9"/>
  <c r="Z314" i="9"/>
  <c r="X210" i="9"/>
  <c r="Z211" i="9"/>
  <c r="X196" i="9"/>
  <c r="Z197" i="9"/>
  <c r="X305" i="9"/>
  <c r="Z306" i="9"/>
  <c r="X254" i="9"/>
  <c r="X250" i="9" s="1"/>
  <c r="Z255" i="9"/>
  <c r="X63" i="9"/>
  <c r="X62" i="9" s="1"/>
  <c r="Z65" i="9"/>
  <c r="X367" i="9"/>
  <c r="Z368" i="9"/>
  <c r="X311" i="9"/>
  <c r="Z312" i="9"/>
  <c r="X199" i="9"/>
  <c r="X198" i="9" s="1"/>
  <c r="X147" i="9"/>
  <c r="X144" i="9"/>
  <c r="X124" i="9"/>
  <c r="X34" i="9"/>
  <c r="X355" i="9"/>
  <c r="X354" i="9" s="1"/>
  <c r="Z124" i="9"/>
  <c r="AB124" i="9" s="1"/>
  <c r="X518" i="9"/>
  <c r="X429" i="9"/>
  <c r="Z430" i="9"/>
  <c r="X221" i="9"/>
  <c r="Z222" i="9"/>
  <c r="X207" i="9"/>
  <c r="Z208" i="9"/>
  <c r="X137" i="9"/>
  <c r="Z138" i="9"/>
  <c r="X58" i="9"/>
  <c r="Z59" i="9"/>
  <c r="X393" i="9"/>
  <c r="Z394" i="9"/>
  <c r="X535" i="9"/>
  <c r="Z536" i="9"/>
  <c r="X332" i="9"/>
  <c r="Z333" i="9"/>
  <c r="X122" i="9"/>
  <c r="X117" i="9" s="1"/>
  <c r="Z123" i="9"/>
  <c r="S446" i="9"/>
  <c r="S445" i="9" s="1"/>
  <c r="S436" i="9" s="1"/>
  <c r="S435" i="9" s="1"/>
  <c r="S431" i="9" s="1"/>
  <c r="V447" i="9"/>
  <c r="X310" i="9"/>
  <c r="X309" i="9" s="1"/>
  <c r="V143" i="9"/>
  <c r="S461" i="9"/>
  <c r="V462" i="9"/>
  <c r="V428" i="9"/>
  <c r="V427" i="9" s="1"/>
  <c r="V70" i="9"/>
  <c r="V69" i="9" s="1"/>
  <c r="V220" i="9"/>
  <c r="V215" i="9" s="1"/>
  <c r="V206" i="9"/>
  <c r="V157" i="9"/>
  <c r="V156" i="9" s="1"/>
  <c r="V136" i="9"/>
  <c r="V135" i="9" s="1"/>
  <c r="V74" i="9"/>
  <c r="V73" i="9" s="1"/>
  <c r="V341" i="9"/>
  <c r="V340" i="9" s="1"/>
  <c r="X380" i="9"/>
  <c r="V379" i="9"/>
  <c r="X40" i="9"/>
  <c r="V39" i="9"/>
  <c r="V38" i="9" s="1"/>
  <c r="X512" i="9"/>
  <c r="V511" i="9"/>
  <c r="X418" i="9"/>
  <c r="Z418" i="9" s="1"/>
  <c r="V417" i="9"/>
  <c r="V416" i="9" s="1"/>
  <c r="V415" i="9" s="1"/>
  <c r="X579" i="9"/>
  <c r="V578" i="9"/>
  <c r="V316" i="9"/>
  <c r="V315" i="9" s="1"/>
  <c r="V337" i="9"/>
  <c r="V336" i="9" s="1"/>
  <c r="V209" i="9"/>
  <c r="V304" i="9"/>
  <c r="V238" i="9"/>
  <c r="V61" i="9"/>
  <c r="V60" i="9" s="1"/>
  <c r="V366" i="9"/>
  <c r="V365" i="9" s="1"/>
  <c r="V329" i="9"/>
  <c r="V328" i="9" s="1"/>
  <c r="X530" i="9"/>
  <c r="V529" i="9"/>
  <c r="V310" i="9"/>
  <c r="V309" i="9" s="1"/>
  <c r="V110" i="9"/>
  <c r="S460" i="9"/>
  <c r="S459" i="9" s="1"/>
  <c r="S458" i="9" s="1"/>
  <c r="S454" i="9" s="1"/>
  <c r="O17" i="9"/>
  <c r="O16" i="9" s="1"/>
  <c r="O15" i="9" s="1"/>
  <c r="Q18" i="9"/>
  <c r="O169" i="9"/>
  <c r="O168" i="9" s="1"/>
  <c r="Q170" i="9"/>
  <c r="O176" i="9"/>
  <c r="Q177" i="9"/>
  <c r="O182" i="9"/>
  <c r="O181" i="9" s="1"/>
  <c r="Q183" i="9"/>
  <c r="O28" i="9"/>
  <c r="O27" i="9" s="1"/>
  <c r="O14" i="9" s="1"/>
  <c r="O13" i="9" s="1"/>
  <c r="O12" i="9" s="1"/>
  <c r="Q29" i="9"/>
  <c r="O399" i="9"/>
  <c r="O398" i="9" s="1"/>
  <c r="Q401" i="9"/>
  <c r="Q436" i="9"/>
  <c r="Q435" i="9" s="1"/>
  <c r="Q431" i="9" s="1"/>
  <c r="Q467" i="9"/>
  <c r="Q460" i="9"/>
  <c r="Q459" i="9" s="1"/>
  <c r="Q458" i="9" s="1"/>
  <c r="Q454" i="9" s="1"/>
  <c r="S174" i="9"/>
  <c r="Q172" i="9"/>
  <c r="S187" i="9"/>
  <c r="Q185" i="9"/>
  <c r="K14" i="9"/>
  <c r="K13" i="9" s="1"/>
  <c r="K12" i="9" s="1"/>
  <c r="K586" i="9" s="1"/>
  <c r="K588" i="9" s="1"/>
  <c r="X110" i="9" l="1"/>
  <c r="AB52" i="9"/>
  <c r="E33" i="11"/>
  <c r="E150" i="11"/>
  <c r="G150" i="11" s="1"/>
  <c r="G151" i="11"/>
  <c r="E58" i="11"/>
  <c r="G60" i="11"/>
  <c r="V414" i="9"/>
  <c r="Z518" i="9"/>
  <c r="X143" i="9"/>
  <c r="Z199" i="9"/>
  <c r="Z122" i="9"/>
  <c r="Z332" i="9"/>
  <c r="AB333" i="9"/>
  <c r="Z535" i="9"/>
  <c r="AB536" i="9"/>
  <c r="Z393" i="9"/>
  <c r="AB394" i="9"/>
  <c r="Z58" i="9"/>
  <c r="AB59" i="9"/>
  <c r="Z137" i="9"/>
  <c r="AB138" i="9"/>
  <c r="Z207" i="9"/>
  <c r="AB208" i="9"/>
  <c r="Z221" i="9"/>
  <c r="AB222" i="9"/>
  <c r="Z429" i="9"/>
  <c r="AB430" i="9"/>
  <c r="Z545" i="9"/>
  <c r="AB545" i="9" s="1"/>
  <c r="AB546" i="9"/>
  <c r="Z319" i="9"/>
  <c r="AB319" i="9" s="1"/>
  <c r="AB320" i="9"/>
  <c r="Z355" i="9"/>
  <c r="AB356" i="9"/>
  <c r="E52" i="11"/>
  <c r="E212" i="11"/>
  <c r="G212" i="11" s="1"/>
  <c r="AB412" i="9"/>
  <c r="Z34" i="9"/>
  <c r="AB34" i="9" s="1"/>
  <c r="AB35" i="9"/>
  <c r="E25" i="11"/>
  <c r="E159" i="11"/>
  <c r="AB125" i="9"/>
  <c r="AB133" i="9"/>
  <c r="E165" i="11"/>
  <c r="G165" i="11" s="1"/>
  <c r="Z144" i="9"/>
  <c r="AB144" i="9" s="1"/>
  <c r="AB145" i="9"/>
  <c r="Z147" i="9"/>
  <c r="AB153" i="9"/>
  <c r="E207" i="11"/>
  <c r="G207" i="11" s="1"/>
  <c r="AB56" i="9"/>
  <c r="E36" i="11"/>
  <c r="G36" i="11" s="1"/>
  <c r="AB118" i="9"/>
  <c r="E148" i="11"/>
  <c r="Z417" i="9"/>
  <c r="AB417" i="9" s="1"/>
  <c r="AB418" i="9"/>
  <c r="Z311" i="9"/>
  <c r="AB312" i="9"/>
  <c r="Z367" i="9"/>
  <c r="AB368" i="9"/>
  <c r="Z63" i="9"/>
  <c r="Z254" i="9"/>
  <c r="Z305" i="9"/>
  <c r="AA306" i="9"/>
  <c r="Z196" i="9"/>
  <c r="Z210" i="9"/>
  <c r="AB211" i="9"/>
  <c r="Z313" i="9"/>
  <c r="Z338" i="9"/>
  <c r="AB339" i="9"/>
  <c r="Z373" i="9"/>
  <c r="Z372" i="9" s="1"/>
  <c r="AA374" i="9"/>
  <c r="Z317" i="9"/>
  <c r="AB318" i="9"/>
  <c r="Z383" i="9"/>
  <c r="AB383" i="9" s="1"/>
  <c r="AB384" i="9"/>
  <c r="Z342" i="9"/>
  <c r="AB343" i="9"/>
  <c r="Z54" i="9"/>
  <c r="AB55" i="9"/>
  <c r="Z80" i="9"/>
  <c r="AB82" i="9"/>
  <c r="Z158" i="9"/>
  <c r="AB159" i="9"/>
  <c r="Z71" i="9"/>
  <c r="AB72" i="9"/>
  <c r="Z189" i="9"/>
  <c r="AB189" i="9" s="1"/>
  <c r="AB190" i="9"/>
  <c r="Z198" i="9"/>
  <c r="AB198" i="9" s="1"/>
  <c r="AB199" i="9"/>
  <c r="Z416" i="9"/>
  <c r="E34" i="11"/>
  <c r="G34" i="11" s="1"/>
  <c r="X578" i="9"/>
  <c r="Z579" i="9"/>
  <c r="X511" i="9"/>
  <c r="Z512" i="9"/>
  <c r="X39" i="9"/>
  <c r="X38" i="9" s="1"/>
  <c r="Z40" i="9"/>
  <c r="X379" i="9"/>
  <c r="Z380" i="9"/>
  <c r="X366" i="9"/>
  <c r="X365" i="9" s="1"/>
  <c r="X61" i="9"/>
  <c r="X60" i="9" s="1"/>
  <c r="X238" i="9"/>
  <c r="X304" i="9"/>
  <c r="X209" i="9"/>
  <c r="X337" i="9"/>
  <c r="X336" i="9" s="1"/>
  <c r="X316" i="9"/>
  <c r="X315" i="9" s="1"/>
  <c r="X341" i="9"/>
  <c r="X340" i="9" s="1"/>
  <c r="X74" i="9"/>
  <c r="X73" i="9" s="1"/>
  <c r="X157" i="9"/>
  <c r="X156" i="9" s="1"/>
  <c r="X70" i="9"/>
  <c r="X69" i="9" s="1"/>
  <c r="X529" i="9"/>
  <c r="Z530" i="9"/>
  <c r="X329" i="9"/>
  <c r="X328" i="9" s="1"/>
  <c r="X136" i="9"/>
  <c r="X135" i="9" s="1"/>
  <c r="X206" i="9"/>
  <c r="X220" i="9"/>
  <c r="X215" i="9" s="1"/>
  <c r="X214" i="9" s="1"/>
  <c r="X428" i="9"/>
  <c r="X427" i="9" s="1"/>
  <c r="O167" i="9"/>
  <c r="O166" i="9" s="1"/>
  <c r="O165" i="9" s="1"/>
  <c r="X417" i="9"/>
  <c r="X416" i="9" s="1"/>
  <c r="X415" i="9" s="1"/>
  <c r="X414" i="9" s="1"/>
  <c r="S185" i="9"/>
  <c r="V187" i="9"/>
  <c r="S172" i="9"/>
  <c r="V174" i="9"/>
  <c r="X447" i="9"/>
  <c r="Z447" i="9" s="1"/>
  <c r="V446" i="9"/>
  <c r="V445" i="9" s="1"/>
  <c r="V205" i="9"/>
  <c r="V524" i="9"/>
  <c r="V523" i="9" s="1"/>
  <c r="V577" i="9"/>
  <c r="V576" i="9" s="1"/>
  <c r="V575" i="9" s="1"/>
  <c r="V510" i="9"/>
  <c r="V509" i="9" s="1"/>
  <c r="V468" i="9" s="1"/>
  <c r="V37" i="9"/>
  <c r="V378" i="9"/>
  <c r="X462" i="9"/>
  <c r="V461" i="9"/>
  <c r="V214" i="9"/>
  <c r="S401" i="9"/>
  <c r="Q399" i="9"/>
  <c r="Q28" i="9"/>
  <c r="Q27" i="9" s="1"/>
  <c r="S29" i="9"/>
  <c r="S183" i="9"/>
  <c r="Q182" i="9"/>
  <c r="Q181" i="9" s="1"/>
  <c r="S177" i="9"/>
  <c r="Q176" i="9"/>
  <c r="Q169" i="9"/>
  <c r="Q168" i="9" s="1"/>
  <c r="S170" i="9"/>
  <c r="Q17" i="9"/>
  <c r="Q16" i="9" s="1"/>
  <c r="Q15" i="9" s="1"/>
  <c r="S18" i="9"/>
  <c r="O180" i="9"/>
  <c r="O371" i="9"/>
  <c r="O353" i="9" s="1"/>
  <c r="E147" i="11" l="1"/>
  <c r="G148" i="11"/>
  <c r="E158" i="11"/>
  <c r="G158" i="11" s="1"/>
  <c r="G159" i="11"/>
  <c r="E51" i="11"/>
  <c r="G51" i="11" s="1"/>
  <c r="G52" i="11"/>
  <c r="E53" i="11"/>
  <c r="G53" i="11" s="1"/>
  <c r="G58" i="11"/>
  <c r="E24" i="11"/>
  <c r="G25" i="11"/>
  <c r="X205" i="9"/>
  <c r="Z529" i="9"/>
  <c r="AB530" i="9"/>
  <c r="Z379" i="9"/>
  <c r="AB380" i="9"/>
  <c r="Z39" i="9"/>
  <c r="AB40" i="9"/>
  <c r="Z511" i="9"/>
  <c r="AB512" i="9"/>
  <c r="Z578" i="9"/>
  <c r="AB578" i="9" s="1"/>
  <c r="AB579" i="9"/>
  <c r="Z70" i="9"/>
  <c r="E49" i="11"/>
  <c r="AB71" i="9"/>
  <c r="Z157" i="9"/>
  <c r="AB158" i="9"/>
  <c r="E216" i="11"/>
  <c r="Z74" i="9"/>
  <c r="AB80" i="9"/>
  <c r="E71" i="11"/>
  <c r="AB54" i="9"/>
  <c r="E35" i="11"/>
  <c r="G35" i="11" s="1"/>
  <c r="Z341" i="9"/>
  <c r="AB342" i="9"/>
  <c r="E233" i="11"/>
  <c r="Z316" i="9"/>
  <c r="AB317" i="9"/>
  <c r="E191" i="11"/>
  <c r="Z337" i="9"/>
  <c r="AB338" i="9"/>
  <c r="E229" i="11"/>
  <c r="Z209" i="9"/>
  <c r="AB209" i="9" s="1"/>
  <c r="E97" i="11"/>
  <c r="AB210" i="9"/>
  <c r="E43" i="11"/>
  <c r="Z304" i="9"/>
  <c r="E157" i="11"/>
  <c r="Z250" i="9"/>
  <c r="Z62" i="9"/>
  <c r="AB63" i="9"/>
  <c r="AB367" i="9"/>
  <c r="Z366" i="9"/>
  <c r="AB366" i="9" s="1"/>
  <c r="E184" i="11"/>
  <c r="Z310" i="9"/>
  <c r="AB311" i="9"/>
  <c r="Z354" i="9"/>
  <c r="AB354" i="9" s="1"/>
  <c r="AB355" i="9"/>
  <c r="Z428" i="9"/>
  <c r="AB429" i="9"/>
  <c r="E205" i="11"/>
  <c r="Z220" i="9"/>
  <c r="E108" i="11"/>
  <c r="AB221" i="9"/>
  <c r="Z206" i="9"/>
  <c r="AB207" i="9"/>
  <c r="E88" i="11"/>
  <c r="G88" i="11" s="1"/>
  <c r="Z136" i="9"/>
  <c r="E175" i="11"/>
  <c r="AB137" i="9"/>
  <c r="E42" i="11"/>
  <c r="AB58" i="9"/>
  <c r="AB393" i="9"/>
  <c r="E201" i="11"/>
  <c r="G201" i="11" s="1"/>
  <c r="AB535" i="9"/>
  <c r="E93" i="11"/>
  <c r="G93" i="11" s="1"/>
  <c r="Z329" i="9"/>
  <c r="AB332" i="9"/>
  <c r="E224" i="11"/>
  <c r="Z117" i="9"/>
  <c r="E196" i="11"/>
  <c r="O179" i="9"/>
  <c r="O178" i="9" s="1"/>
  <c r="O586" i="9" s="1"/>
  <c r="Z446" i="9"/>
  <c r="AB447" i="9"/>
  <c r="Z415" i="9"/>
  <c r="AB416" i="9"/>
  <c r="AA373" i="9"/>
  <c r="AA305" i="9"/>
  <c r="F157" i="11" s="1"/>
  <c r="F156" i="11" s="1"/>
  <c r="F155" i="11" s="1"/>
  <c r="F103" i="11" s="1"/>
  <c r="F242" i="11" s="1"/>
  <c r="Z143" i="9"/>
  <c r="AB143" i="9" s="1"/>
  <c r="AB147" i="9"/>
  <c r="Z577" i="9"/>
  <c r="E101" i="11"/>
  <c r="X378" i="9"/>
  <c r="X37" i="9"/>
  <c r="X510" i="9"/>
  <c r="X509" i="9" s="1"/>
  <c r="X468" i="9" s="1"/>
  <c r="X577" i="9"/>
  <c r="X576" i="9" s="1"/>
  <c r="X575" i="9" s="1"/>
  <c r="X461" i="9"/>
  <c r="Z462" i="9"/>
  <c r="X524" i="9"/>
  <c r="X523" i="9" s="1"/>
  <c r="X446" i="9"/>
  <c r="X445" i="9" s="1"/>
  <c r="S17" i="9"/>
  <c r="S16" i="9" s="1"/>
  <c r="V18" i="9"/>
  <c r="S169" i="9"/>
  <c r="S168" i="9" s="1"/>
  <c r="V170" i="9"/>
  <c r="S28" i="9"/>
  <c r="S27" i="9" s="1"/>
  <c r="V29" i="9"/>
  <c r="V460" i="9"/>
  <c r="V459" i="9" s="1"/>
  <c r="V458" i="9" s="1"/>
  <c r="V454" i="9" s="1"/>
  <c r="S176" i="9"/>
  <c r="V177" i="9"/>
  <c r="S182" i="9"/>
  <c r="S181" i="9" s="1"/>
  <c r="S180" i="9" s="1"/>
  <c r="V183" i="9"/>
  <c r="S399" i="9"/>
  <c r="S398" i="9" s="1"/>
  <c r="S371" i="9" s="1"/>
  <c r="S353" i="9" s="1"/>
  <c r="V401" i="9"/>
  <c r="V436" i="9"/>
  <c r="V435" i="9" s="1"/>
  <c r="V431" i="9" s="1"/>
  <c r="X174" i="9"/>
  <c r="Z174" i="9" s="1"/>
  <c r="AB174" i="9" s="1"/>
  <c r="V172" i="9"/>
  <c r="X187" i="9"/>
  <c r="V185" i="9"/>
  <c r="V467" i="9"/>
  <c r="S15" i="9"/>
  <c r="S14" i="9" s="1"/>
  <c r="S13" i="9" s="1"/>
  <c r="S12" i="9" s="1"/>
  <c r="Q180" i="9"/>
  <c r="Q398" i="9"/>
  <c r="Q371" i="9" s="1"/>
  <c r="Q353" i="9" s="1"/>
  <c r="Q14" i="9"/>
  <c r="Q13" i="9" s="1"/>
  <c r="Q12" i="9" s="1"/>
  <c r="Q167" i="9"/>
  <c r="Q166" i="9" s="1"/>
  <c r="Q165" i="9" s="1"/>
  <c r="E100" i="11" l="1"/>
  <c r="G100" i="11" s="1"/>
  <c r="G101" i="11"/>
  <c r="E223" i="11"/>
  <c r="G224" i="11"/>
  <c r="E41" i="11"/>
  <c r="G41" i="11" s="1"/>
  <c r="G42" i="11"/>
  <c r="E174" i="11"/>
  <c r="G174" i="11" s="1"/>
  <c r="G175" i="11"/>
  <c r="E104" i="11"/>
  <c r="G104" i="11" s="1"/>
  <c r="G108" i="11"/>
  <c r="E204" i="11"/>
  <c r="G205" i="11"/>
  <c r="E156" i="11"/>
  <c r="G157" i="11"/>
  <c r="E95" i="11"/>
  <c r="G95" i="11" s="1"/>
  <c r="G97" i="11"/>
  <c r="E228" i="11"/>
  <c r="G229" i="11"/>
  <c r="E232" i="11"/>
  <c r="G233" i="11"/>
  <c r="E215" i="11"/>
  <c r="G216" i="11"/>
  <c r="E48" i="11"/>
  <c r="G49" i="11"/>
  <c r="E23" i="11"/>
  <c r="G23" i="11" s="1"/>
  <c r="G24" i="11"/>
  <c r="E146" i="11"/>
  <c r="G146" i="11" s="1"/>
  <c r="G147" i="11"/>
  <c r="E195" i="11"/>
  <c r="G195" i="11" s="1"/>
  <c r="G196" i="11"/>
  <c r="E183" i="11"/>
  <c r="G184" i="11"/>
  <c r="E190" i="11"/>
  <c r="G191" i="11"/>
  <c r="E70" i="11"/>
  <c r="G71" i="11"/>
  <c r="Q179" i="9"/>
  <c r="Q178" i="9" s="1"/>
  <c r="Q586" i="9" s="1"/>
  <c r="S179" i="9"/>
  <c r="S178" i="9" s="1"/>
  <c r="AB462" i="9"/>
  <c r="Z461" i="9"/>
  <c r="AA304" i="9"/>
  <c r="AA372" i="9"/>
  <c r="Z110" i="9"/>
  <c r="AB110" i="9" s="1"/>
  <c r="AB117" i="9"/>
  <c r="Z135" i="9"/>
  <c r="AB135" i="9" s="1"/>
  <c r="AB136" i="9"/>
  <c r="Z215" i="9"/>
  <c r="AB220" i="9"/>
  <c r="Z315" i="9"/>
  <c r="AB315" i="9" s="1"/>
  <c r="AB316" i="9"/>
  <c r="Z73" i="9"/>
  <c r="AB73" i="9" s="1"/>
  <c r="AB74" i="9"/>
  <c r="Z69" i="9"/>
  <c r="AB69" i="9" s="1"/>
  <c r="AB70" i="9"/>
  <c r="Z510" i="9"/>
  <c r="AB511" i="9"/>
  <c r="E78" i="11"/>
  <c r="Z38" i="9"/>
  <c r="AB39" i="9"/>
  <c r="Z378" i="9"/>
  <c r="AB378" i="9" s="1"/>
  <c r="AB379" i="9"/>
  <c r="E193" i="11"/>
  <c r="Z524" i="9"/>
  <c r="E89" i="11"/>
  <c r="AB529" i="9"/>
  <c r="Z576" i="9"/>
  <c r="AB577" i="9"/>
  <c r="AB415" i="9"/>
  <c r="Z445" i="9"/>
  <c r="AB446" i="9"/>
  <c r="Z328" i="9"/>
  <c r="AB328" i="9" s="1"/>
  <c r="AB329" i="9"/>
  <c r="Z205" i="9"/>
  <c r="AB205" i="9" s="1"/>
  <c r="AB206" i="9"/>
  <c r="Z427" i="9"/>
  <c r="AB427" i="9" s="1"/>
  <c r="AB428" i="9"/>
  <c r="Z309" i="9"/>
  <c r="AB309" i="9" s="1"/>
  <c r="AB310" i="9"/>
  <c r="Z61" i="9"/>
  <c r="E46" i="11"/>
  <c r="AB62" i="9"/>
  <c r="E121" i="11"/>
  <c r="Z238" i="9"/>
  <c r="AB238" i="9" s="1"/>
  <c r="Z336" i="9"/>
  <c r="AB336" i="9" s="1"/>
  <c r="AB337" i="9"/>
  <c r="Z340" i="9"/>
  <c r="AB340" i="9" s="1"/>
  <c r="AB341" i="9"/>
  <c r="AB157" i="9"/>
  <c r="Z156" i="9"/>
  <c r="AB156" i="9" s="1"/>
  <c r="Z365" i="9"/>
  <c r="AB365" i="9" s="1"/>
  <c r="X467" i="9"/>
  <c r="X185" i="9"/>
  <c r="Z187" i="9"/>
  <c r="X172" i="9"/>
  <c r="Z172" i="9"/>
  <c r="X460" i="9"/>
  <c r="X459" i="9" s="1"/>
  <c r="X458" i="9" s="1"/>
  <c r="X454" i="9" s="1"/>
  <c r="X436" i="9"/>
  <c r="X435" i="9" s="1"/>
  <c r="X431" i="9" s="1"/>
  <c r="S167" i="9"/>
  <c r="S166" i="9" s="1"/>
  <c r="S165" i="9" s="1"/>
  <c r="X401" i="9"/>
  <c r="V399" i="9"/>
  <c r="X183" i="9"/>
  <c r="V182" i="9"/>
  <c r="V181" i="9" s="1"/>
  <c r="X177" i="9"/>
  <c r="V176" i="9"/>
  <c r="X29" i="9"/>
  <c r="V28" i="9"/>
  <c r="V27" i="9" s="1"/>
  <c r="X170" i="9"/>
  <c r="Z170" i="9" s="1"/>
  <c r="AB170" i="9" s="1"/>
  <c r="V169" i="9"/>
  <c r="V168" i="9" s="1"/>
  <c r="X18" i="9"/>
  <c r="V17" i="9"/>
  <c r="V16" i="9" s="1"/>
  <c r="E119" i="11" l="1"/>
  <c r="G121" i="11"/>
  <c r="E77" i="11"/>
  <c r="G78" i="11"/>
  <c r="E64" i="11"/>
  <c r="G64" i="11" s="1"/>
  <c r="G70" i="11"/>
  <c r="E189" i="11"/>
  <c r="G189" i="11" s="1"/>
  <c r="G190" i="11"/>
  <c r="E181" i="11"/>
  <c r="G183" i="11"/>
  <c r="E47" i="11"/>
  <c r="G47" i="11" s="1"/>
  <c r="G48" i="11"/>
  <c r="E214" i="11"/>
  <c r="G215" i="11"/>
  <c r="E231" i="11"/>
  <c r="G232" i="11"/>
  <c r="E227" i="11"/>
  <c r="G227" i="11" s="1"/>
  <c r="G228" i="11"/>
  <c r="E155" i="11"/>
  <c r="G155" i="11" s="1"/>
  <c r="G156" i="11"/>
  <c r="E202" i="11"/>
  <c r="G202" i="11" s="1"/>
  <c r="G204" i="11"/>
  <c r="E221" i="11"/>
  <c r="G223" i="11"/>
  <c r="E45" i="11"/>
  <c r="G46" i="11"/>
  <c r="E85" i="11"/>
  <c r="G89" i="11"/>
  <c r="E192" i="11"/>
  <c r="G192" i="11" s="1"/>
  <c r="G193" i="11"/>
  <c r="S586" i="9"/>
  <c r="AB172" i="9"/>
  <c r="Z185" i="9"/>
  <c r="AB185" i="9" s="1"/>
  <c r="AB187" i="9"/>
  <c r="Z60" i="9"/>
  <c r="AB60" i="9" s="1"/>
  <c r="AB61" i="9"/>
  <c r="E177" i="11"/>
  <c r="G177" i="11" s="1"/>
  <c r="Z436" i="9"/>
  <c r="AB436" i="9" s="1"/>
  <c r="AB445" i="9"/>
  <c r="Z575" i="9"/>
  <c r="AB575" i="9" s="1"/>
  <c r="AB576" i="9"/>
  <c r="AB38" i="9"/>
  <c r="Z37" i="9"/>
  <c r="AB37" i="9" s="1"/>
  <c r="E31" i="11"/>
  <c r="AB461" i="9"/>
  <c r="E172" i="11"/>
  <c r="Z414" i="9"/>
  <c r="AB414" i="9" s="1"/>
  <c r="Z460" i="9"/>
  <c r="Z523" i="9"/>
  <c r="AB523" i="9" s="1"/>
  <c r="AB524" i="9"/>
  <c r="Z509" i="9"/>
  <c r="AB510" i="9"/>
  <c r="AB215" i="9"/>
  <c r="Z214" i="9"/>
  <c r="AA371" i="9"/>
  <c r="AB304" i="9"/>
  <c r="AA214" i="9"/>
  <c r="X17" i="9"/>
  <c r="X16" i="9" s="1"/>
  <c r="Z18" i="9"/>
  <c r="X169" i="9"/>
  <c r="X168" i="9" s="1"/>
  <c r="Z169" i="9"/>
  <c r="X28" i="9"/>
  <c r="X27" i="9" s="1"/>
  <c r="Z29" i="9"/>
  <c r="X176" i="9"/>
  <c r="Z177" i="9"/>
  <c r="X182" i="9"/>
  <c r="X181" i="9" s="1"/>
  <c r="Z183" i="9"/>
  <c r="X399" i="9"/>
  <c r="Z401" i="9"/>
  <c r="X167" i="9"/>
  <c r="X166" i="9" s="1"/>
  <c r="X165" i="9" s="1"/>
  <c r="V167" i="9"/>
  <c r="V166" i="9" s="1"/>
  <c r="V165" i="9" s="1"/>
  <c r="X180" i="9"/>
  <c r="V15" i="9"/>
  <c r="V14" i="9" s="1"/>
  <c r="V13" i="9" s="1"/>
  <c r="V12" i="9" s="1"/>
  <c r="V180" i="9"/>
  <c r="V398" i="9"/>
  <c r="V371" i="9" s="1"/>
  <c r="V353" i="9" s="1"/>
  <c r="G85" i="11" l="1"/>
  <c r="E82" i="11"/>
  <c r="G82" i="11" s="1"/>
  <c r="E44" i="11"/>
  <c r="G44" i="11" s="1"/>
  <c r="G45" i="11"/>
  <c r="E220" i="11"/>
  <c r="G220" i="11" s="1"/>
  <c r="G221" i="11"/>
  <c r="E230" i="11"/>
  <c r="G230" i="11" s="1"/>
  <c r="G231" i="11"/>
  <c r="E213" i="11"/>
  <c r="G213" i="11" s="1"/>
  <c r="G214" i="11"/>
  <c r="E180" i="11"/>
  <c r="G180" i="11" s="1"/>
  <c r="G181" i="11"/>
  <c r="E76" i="11"/>
  <c r="G77" i="11"/>
  <c r="E115" i="11"/>
  <c r="G119" i="11"/>
  <c r="E171" i="11"/>
  <c r="G172" i="11"/>
  <c r="E30" i="11"/>
  <c r="G30" i="11" s="1"/>
  <c r="G31" i="11"/>
  <c r="Z399" i="9"/>
  <c r="AB399" i="9" s="1"/>
  <c r="AB401" i="9"/>
  <c r="Z182" i="9"/>
  <c r="AB183" i="9"/>
  <c r="Z176" i="9"/>
  <c r="AB177" i="9"/>
  <c r="Z28" i="9"/>
  <c r="AB29" i="9"/>
  <c r="AB169" i="9"/>
  <c r="Z17" i="9"/>
  <c r="AB18" i="9"/>
  <c r="AA178" i="9"/>
  <c r="AB214" i="9"/>
  <c r="AA353" i="9"/>
  <c r="Z459" i="9"/>
  <c r="AB460" i="9"/>
  <c r="Z435" i="9"/>
  <c r="Z168" i="9"/>
  <c r="E13" i="11" s="1"/>
  <c r="G13" i="11" s="1"/>
  <c r="V179" i="9"/>
  <c r="V178" i="9" s="1"/>
  <c r="V586" i="9" s="1"/>
  <c r="X179" i="9"/>
  <c r="X178" i="9" s="1"/>
  <c r="Z468" i="9"/>
  <c r="AB509" i="9"/>
  <c r="Z398" i="9"/>
  <c r="E209" i="11"/>
  <c r="X398" i="9"/>
  <c r="X371" i="9" s="1"/>
  <c r="X353" i="9" s="1"/>
  <c r="X15" i="9"/>
  <c r="X14" i="9" s="1"/>
  <c r="X13" i="9" s="1"/>
  <c r="X12" i="9" s="1"/>
  <c r="E167" i="11" l="1"/>
  <c r="G171" i="11"/>
  <c r="E103" i="11"/>
  <c r="G103" i="11" s="1"/>
  <c r="G115" i="11"/>
  <c r="E50" i="11"/>
  <c r="G50" i="11" s="1"/>
  <c r="G76" i="11"/>
  <c r="E208" i="11"/>
  <c r="G209" i="11"/>
  <c r="X586" i="9"/>
  <c r="AB468" i="9"/>
  <c r="Z467" i="9"/>
  <c r="AB467" i="9" s="1"/>
  <c r="Z458" i="9"/>
  <c r="AB459" i="9"/>
  <c r="AA586" i="9"/>
  <c r="Z16" i="9"/>
  <c r="AB17" i="9"/>
  <c r="Z27" i="9"/>
  <c r="AB28" i="9"/>
  <c r="AB176" i="9"/>
  <c r="E14" i="11"/>
  <c r="Z181" i="9"/>
  <c r="E22" i="11" s="1"/>
  <c r="AB182" i="9"/>
  <c r="Z431" i="9"/>
  <c r="AB431" i="9" s="1"/>
  <c r="AB435" i="9"/>
  <c r="Z371" i="9"/>
  <c r="AB398" i="9"/>
  <c r="Z167" i="9"/>
  <c r="AB168" i="9"/>
  <c r="E21" i="11" l="1"/>
  <c r="G21" i="11" s="1"/>
  <c r="G22" i="11"/>
  <c r="F243" i="11"/>
  <c r="F244" i="11"/>
  <c r="F245" i="11"/>
  <c r="E166" i="11"/>
  <c r="G166" i="11" s="1"/>
  <c r="G167" i="11"/>
  <c r="E186" i="11"/>
  <c r="G186" i="11" s="1"/>
  <c r="G208" i="11"/>
  <c r="E12" i="11"/>
  <c r="G12" i="11" s="1"/>
  <c r="G14" i="11"/>
  <c r="AB167" i="9"/>
  <c r="Z166" i="9"/>
  <c r="Z353" i="9"/>
  <c r="AB353" i="9" s="1"/>
  <c r="AB371" i="9"/>
  <c r="Z180" i="9"/>
  <c r="AB181" i="9"/>
  <c r="E18" i="11"/>
  <c r="G18" i="11" s="1"/>
  <c r="AB27" i="9"/>
  <c r="Z15" i="9"/>
  <c r="E16" i="11"/>
  <c r="AB16" i="9"/>
  <c r="Z454" i="9"/>
  <c r="AB454" i="9" s="1"/>
  <c r="AB458" i="9"/>
  <c r="E29" i="11" l="1"/>
  <c r="G33" i="11"/>
  <c r="E15" i="11"/>
  <c r="G15" i="11" s="1"/>
  <c r="G16" i="11"/>
  <c r="AB15" i="9"/>
  <c r="Z14" i="9"/>
  <c r="Z179" i="9"/>
  <c r="AB180" i="9"/>
  <c r="Z165" i="9"/>
  <c r="AB165" i="9" s="1"/>
  <c r="AB166" i="9"/>
  <c r="G29" i="11" l="1"/>
  <c r="E9" i="11"/>
  <c r="Z13" i="9"/>
  <c r="AB14" i="9"/>
  <c r="AB179" i="9"/>
  <c r="Z178" i="9"/>
  <c r="AB178" i="9" s="1"/>
  <c r="G9" i="11" l="1"/>
  <c r="E242" i="11"/>
  <c r="G242" i="11" s="1"/>
  <c r="Z12" i="9"/>
  <c r="AB13" i="9"/>
  <c r="AB12" i="9" l="1"/>
  <c r="Z586" i="9"/>
  <c r="AB586" i="9" l="1"/>
  <c r="E245" i="11"/>
  <c r="G245" i="11" s="1"/>
  <c r="E244" i="11"/>
  <c r="G244" i="11" s="1"/>
  <c r="E243" i="11"/>
  <c r="G243" i="11" s="1"/>
</calcChain>
</file>

<file path=xl/comments1.xml><?xml version="1.0" encoding="utf-8"?>
<comments xmlns="http://schemas.openxmlformats.org/spreadsheetml/2006/main">
  <authors>
    <author>Автор</author>
  </authors>
  <commentList>
    <comment ref="R22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кроватки Березки</t>
        </r>
      </text>
    </comment>
    <comment ref="U22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кроватки Березки</t>
        </r>
      </text>
    </comment>
    <comment ref="W22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кроватки Березки</t>
        </r>
      </text>
    </comment>
    <comment ref="Y22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кроватки Березки</t>
        </r>
      </text>
    </comment>
  </commentList>
</comments>
</file>

<file path=xl/sharedStrings.xml><?xml version="1.0" encoding="utf-8"?>
<sst xmlns="http://schemas.openxmlformats.org/spreadsheetml/2006/main" count="3416" uniqueCount="685">
  <si>
    <t xml:space="preserve">к решению районного Совета </t>
  </si>
  <si>
    <t>(тыс.руб.)</t>
  </si>
  <si>
    <t>Сумма</t>
  </si>
  <si>
    <t>Осуществление первичного воинского учета на территориях, где отсутствуют военные комиссариаты</t>
  </si>
  <si>
    <t>Наименование</t>
  </si>
  <si>
    <t>356</t>
  </si>
  <si>
    <t>377</t>
  </si>
  <si>
    <t>357</t>
  </si>
  <si>
    <t>370</t>
  </si>
  <si>
    <t>Мин</t>
  </si>
  <si>
    <t>Рз</t>
  </si>
  <si>
    <t>Пр</t>
  </si>
  <si>
    <t>ЦСР</t>
  </si>
  <si>
    <t>ВР</t>
  </si>
  <si>
    <t>ОБЩЕГОСУДАРСТВЕННЫЕ РАСХОДЫ</t>
  </si>
  <si>
    <t>01</t>
  </si>
  <si>
    <t>00</t>
  </si>
  <si>
    <t>02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</si>
  <si>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</si>
  <si>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</si>
  <si>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</si>
  <si>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0020000</t>
  </si>
  <si>
    <t>Центральный аппарат</t>
  </si>
  <si>
    <t>0020400</t>
  </si>
  <si>
    <t>04</t>
  </si>
  <si>
    <t>0020402</t>
  </si>
  <si>
    <t>Резервные фонды</t>
  </si>
  <si>
    <t>12</t>
  </si>
  <si>
    <t>070 05 00</t>
  </si>
  <si>
    <t>Другие общегосударственные вопросы</t>
  </si>
  <si>
    <t>14</t>
  </si>
  <si>
    <t>Руководство и управление в сфере установленных функций</t>
  </si>
  <si>
    <t xml:space="preserve">Государственная регистрация актов гражданского состояния </t>
  </si>
  <si>
    <t>001 38 01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</si>
  <si>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</si>
  <si>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</si>
  <si>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Реализация государственных функций, связанных с общегосударственным управлением</t>
  </si>
  <si>
    <t>092 00 00</t>
  </si>
  <si>
    <t>Целевые программы муниципальных образований</t>
  </si>
  <si>
    <t>795 00 00</t>
  </si>
  <si>
    <t xml:space="preserve">01 </t>
  </si>
  <si>
    <t>001 36 01</t>
  </si>
  <si>
    <t>НАЦИОНАЛЬНАЯ ЭКОНОМИКА</t>
  </si>
  <si>
    <t>08</t>
  </si>
  <si>
    <t xml:space="preserve">08 </t>
  </si>
  <si>
    <t>ЖИЛИЩНО-КОММУНАЛЬНОЕ ХОЗЯЙСТВО</t>
  </si>
  <si>
    <t>05</t>
  </si>
  <si>
    <t>Коммунальное хозяйство</t>
  </si>
  <si>
    <t>Благоустройство</t>
  </si>
  <si>
    <t>Прочие мероприятия по благоустройству городских округов и поселений</t>
  </si>
  <si>
    <t>600 05 00</t>
  </si>
  <si>
    <t>Другие вопросы в области жилищно-коммунального хозяйства</t>
  </si>
  <si>
    <t>Обеспечение деятельности подведомственных учреждений</t>
  </si>
  <si>
    <t>002 99 00</t>
  </si>
  <si>
    <t>002 99 01</t>
  </si>
  <si>
    <t>ОБРАЗОВАНИЕ</t>
  </si>
  <si>
    <t>07</t>
  </si>
  <si>
    <t>Дошкольное образование</t>
  </si>
  <si>
    <t>420 99 00</t>
  </si>
  <si>
    <t>Молодежная политика и оздоровление детей</t>
  </si>
  <si>
    <t>Проведение мероприятий для детей и молодежи</t>
  </si>
  <si>
    <t>431 01 00</t>
  </si>
  <si>
    <t>Другие вопросы в области образования</t>
  </si>
  <si>
    <t>09</t>
  </si>
  <si>
    <t>436 09 00</t>
  </si>
  <si>
    <t>450 85 00</t>
  </si>
  <si>
    <t>512 97 00</t>
  </si>
  <si>
    <t>СОЦИАЛЬНАЯ ПОЛИТИКА</t>
  </si>
  <si>
    <t>10</t>
  </si>
  <si>
    <t>Социальное обеспечение населения</t>
  </si>
  <si>
    <t>505 86 00</t>
  </si>
  <si>
    <t>Реализация государственных функций в области социальной политики</t>
  </si>
  <si>
    <t>Мероприятия в области социальной политики</t>
  </si>
  <si>
    <t>514 01 00</t>
  </si>
  <si>
    <t>Охрана семьи и детства</t>
  </si>
  <si>
    <t>440 99 00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</si>
  <si>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</si>
  <si>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</si>
  <si>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429 78 00</t>
  </si>
  <si>
    <t>Иные безвозмездные и безвозвратные перечисления</t>
  </si>
  <si>
    <t>Общее образование</t>
  </si>
  <si>
    <t>Учреждения по внешкольной работе с детьми</t>
  </si>
  <si>
    <t>423 00 00</t>
  </si>
  <si>
    <t>423 99 00</t>
  </si>
  <si>
    <t>432 00 00</t>
  </si>
  <si>
    <t xml:space="preserve">Оздоровление детей </t>
  </si>
  <si>
    <t>432 02 00</t>
  </si>
  <si>
    <t>372</t>
  </si>
  <si>
    <t>Дворцы и дома культуры, другие учреждения культуры и средств массовой информации</t>
  </si>
  <si>
    <t>440 00 00</t>
  </si>
  <si>
    <t>Социальное обслуживание населения</t>
  </si>
  <si>
    <t>Учреждения социального обслуживания населения</t>
  </si>
  <si>
    <t>508 00 00</t>
  </si>
  <si>
    <t>508 99 02</t>
  </si>
  <si>
    <t>520 00 00</t>
  </si>
  <si>
    <t>Защита населения и территории от чрезвычайных ситуаций природного и техногенного характера, гражданская оборона</t>
  </si>
  <si>
    <t>Поисковые и аварийно-спасательные учреждения</t>
  </si>
  <si>
    <t>302 99 00</t>
  </si>
  <si>
    <t>06</t>
  </si>
  <si>
    <t>Организация и содержание мест захоронения</t>
  </si>
  <si>
    <t>600 04 00</t>
  </si>
  <si>
    <t>010</t>
  </si>
  <si>
    <t>Оздоровление детей за счет средств федерального бюджета</t>
  </si>
  <si>
    <t>432 02 02</t>
  </si>
  <si>
    <t>Оказание других видов социальной помощи</t>
  </si>
  <si>
    <t>Другие вопросы в области социальной политики</t>
  </si>
  <si>
    <t>002 04 00</t>
  </si>
  <si>
    <t>Физкультурно-оздоровительная работа и спортивные мероприятия</t>
  </si>
  <si>
    <t>512 00 00</t>
  </si>
  <si>
    <t>11</t>
  </si>
  <si>
    <t>065 00 00</t>
  </si>
  <si>
    <t>Процентные платежи по муниципальному долгу</t>
  </si>
  <si>
    <t>Периодические издания,  учрежденные органами  законодательной и исполнительной власти</t>
  </si>
  <si>
    <t>457 00 00</t>
  </si>
  <si>
    <t>Государственная поддержка в сфере культуры, кинематографии и средств массовой информации</t>
  </si>
  <si>
    <t>457 85 00</t>
  </si>
  <si>
    <t xml:space="preserve">Выравнивание бюджетной обеспеченности поселений из районного фонда финансовой поддержки </t>
  </si>
  <si>
    <t>520 10 02</t>
  </si>
  <si>
    <t>371</t>
  </si>
  <si>
    <t>Библиотеки</t>
  </si>
  <si>
    <t>442 99 00</t>
  </si>
  <si>
    <t>Школы-детские сады, школы начальные, неполные средние и средние</t>
  </si>
  <si>
    <t>421 99 00</t>
  </si>
  <si>
    <t>Обеспечение деятельности подведомственных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в образовательных учреждениях)</t>
  </si>
  <si>
    <t>421 99 12</t>
  </si>
  <si>
    <t>Ежемесячное денежное вознаграждение за классное руководство за счет средств федерального бюджета</t>
  </si>
  <si>
    <t>Учебные заведения и курсы по переподготовке кадров</t>
  </si>
  <si>
    <t>429 00 00</t>
  </si>
  <si>
    <t xml:space="preserve">Учреждения, обеспечивающие предоставление услуг в сфере образования </t>
  </si>
  <si>
    <t>435 00 00</t>
  </si>
  <si>
    <t>депутатов Светлогорского района</t>
  </si>
  <si>
    <t xml:space="preserve"> (тыс. руб.)</t>
  </si>
  <si>
    <t>Наименование кода</t>
  </si>
  <si>
    <t>РЗ</t>
  </si>
  <si>
    <t>ОБЩЕГОСУДАРСТВЕННЫЕ ВОПРОСЫ</t>
  </si>
  <si>
    <t>000 00 00</t>
  </si>
  <si>
    <t>Функционирование высшего должностного лица субъекта Российской Федерации и муниципального образования</t>
  </si>
  <si>
    <t>002 03 00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</si>
  <si>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</si>
  <si>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</si>
  <si>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</si>
  <si>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</si>
  <si>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</si>
  <si>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Фонд непредвиденных расходов</t>
  </si>
  <si>
    <t>Резервный фонд по предупреждению и ликвидации последствий чрезвычайных ситуаций и стихийных бедствий</t>
  </si>
  <si>
    <t>НАЦИОНАЛЬНАЯ ОБОРОНА</t>
  </si>
  <si>
    <t>НАЦИОНАЛЬНАЯ БЕЗОПАСНОСТЬ И ПРАВООХРАНИТЕЛЬНАЯ ДЕЯТЕЛЬНОСТЬ</t>
  </si>
  <si>
    <t>Обеспечение деятельности ЕДДС</t>
  </si>
  <si>
    <t>Организационно-воспитательная работа с молодежью</t>
  </si>
  <si>
    <t>431 00 00</t>
  </si>
  <si>
    <t>Мероприятия по проведению оздоровительной кампании детей</t>
  </si>
  <si>
    <t>435 99 12</t>
  </si>
  <si>
    <t>Мероприятия в области образования</t>
  </si>
  <si>
    <t>436 00 00</t>
  </si>
  <si>
    <t>Культура</t>
  </si>
  <si>
    <t>Мероприятия в сфере культуры, кинематографии и средств массовой информации</t>
  </si>
  <si>
    <t>450 00 00</t>
  </si>
  <si>
    <t>Обеспечение деятельности Централизованной библиотечной системы</t>
  </si>
  <si>
    <t>Периодическая печать и издательства</t>
  </si>
  <si>
    <t>514  00 00</t>
  </si>
  <si>
    <t>Выравнивание бюджетной обеспеченности</t>
  </si>
  <si>
    <t>516 00 00</t>
  </si>
  <si>
    <t>516 01 30</t>
  </si>
  <si>
    <t>ВСЕГО РАСХОДОВ</t>
  </si>
  <si>
    <t>Глава местной администрации (исполнительно-распорядительного органа муниципального образования)</t>
  </si>
  <si>
    <t>0020800</t>
  </si>
  <si>
    <t>070 05 01</t>
  </si>
  <si>
    <t>070 05 02</t>
  </si>
  <si>
    <t>Мероприятия по МОБ работе</t>
  </si>
  <si>
    <t>070 05 03</t>
  </si>
  <si>
    <t>Программа "Развитие информационных систем обеспечения градостроительной деятельности на 2009-2010гг."</t>
  </si>
  <si>
    <t>795 00 31</t>
  </si>
  <si>
    <t>Другие вопросы в области национальной экономики</t>
  </si>
  <si>
    <t>795 04 01</t>
  </si>
  <si>
    <t>795 00 11</t>
  </si>
  <si>
    <t>795 00 12</t>
  </si>
  <si>
    <t>440 99 01</t>
  </si>
  <si>
    <t>Исполнение судебных решений по искам</t>
  </si>
  <si>
    <t>795 00 21</t>
  </si>
  <si>
    <t xml:space="preserve">Обеспечение деятельности вечерних школ за счет субвенции на обеспечение государственных гарантий прав граждан </t>
  </si>
  <si>
    <t>Топливно-энергетический комплекс</t>
  </si>
  <si>
    <t>795 40 01</t>
  </si>
  <si>
    <t>795 50 01</t>
  </si>
  <si>
    <t>795 70 01</t>
  </si>
  <si>
    <t xml:space="preserve"> СОЦИАЛЬНАЯ ПОЛИТИКА</t>
  </si>
  <si>
    <t>795 10 01</t>
  </si>
  <si>
    <t>002 08 00</t>
  </si>
  <si>
    <t>001 00 00</t>
  </si>
  <si>
    <t xml:space="preserve">Мобилизационная  и вневойсковая подготовка </t>
  </si>
  <si>
    <t>Обеспечение деятельности подведомственных учреждений за счет средств областного бюджета (питание школьников из малообеспеченных семей)</t>
  </si>
  <si>
    <t>421 99 22</t>
  </si>
  <si>
    <t>Обеспечение деятельности учреждений социального обслуживания населения за счет субсидии на обеспечение отдельных государственных полномочий в сфере социальной поддержки населения</t>
  </si>
  <si>
    <t>Дотации на обеспечение мер по дополнительной поддержке местных бюджетов</t>
  </si>
  <si>
    <t>517 05 00</t>
  </si>
  <si>
    <t>517 00 00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</si>
  <si>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</si>
  <si>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</si>
  <si>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</si>
  <si>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</si>
  <si>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</si>
  <si>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</si>
  <si>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СРЕДСТВА МАССОВОЙ ИНФОРМАЦИИ</t>
  </si>
  <si>
    <t xml:space="preserve"> ФИЗИЧЕСКАЯ КУЛЬТУРА И СПОРТ</t>
  </si>
  <si>
    <t>ЗДРАВООХРАНЕНИЕ</t>
  </si>
  <si>
    <t xml:space="preserve">Физическая культура </t>
  </si>
  <si>
    <t>Муниципальная целевая программа "Неотложные меры борьбы с туберкулезом на 2008-2012 годы"</t>
  </si>
  <si>
    <t>Муниципальная целевая программа "Вакцинопрофилактика"</t>
  </si>
  <si>
    <t>Физическая культура</t>
  </si>
  <si>
    <t>Другие вопросы в области здравоохранения</t>
  </si>
  <si>
    <t>Мероприятия в области  физической культуры и спорта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</si>
  <si>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</si>
  <si>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</si>
  <si>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351 05 00</t>
  </si>
  <si>
    <t>795 05 02</t>
  </si>
  <si>
    <t>Администрация муниципального образования "Светлогорский район"</t>
  </si>
  <si>
    <t>Расходы на выплаты персоналу муниципальных органов</t>
  </si>
  <si>
    <t>120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</si>
  <si>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</si>
  <si>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</si>
  <si>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</si>
  <si>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</si>
  <si>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Иные закупки товаров, работ и услуг для муниципальных нужд</t>
  </si>
  <si>
    <t>240</t>
  </si>
  <si>
    <t>Закупка товаров, работ, услуг в сфере информационно-коммуникационных технологий</t>
  </si>
  <si>
    <t>242</t>
  </si>
  <si>
    <t>244</t>
  </si>
  <si>
    <t>Обеспечение деятельности органа управления по организации и осуществлению опеки и попечительства</t>
  </si>
  <si>
    <t>0700500</t>
  </si>
  <si>
    <t>Резервные средства</t>
  </si>
  <si>
    <t>870</t>
  </si>
  <si>
    <t>Государственная регистрация актов гражданского состояния</t>
  </si>
  <si>
    <t>0013801</t>
  </si>
  <si>
    <t>Обеспечение деятельности комиссий по делам несовершеннолетних</t>
  </si>
  <si>
    <t>0900200</t>
  </si>
  <si>
    <t>0920311</t>
  </si>
  <si>
    <t>7950031</t>
  </si>
  <si>
    <t>0013601</t>
  </si>
  <si>
    <t>3029900</t>
  </si>
  <si>
    <t>7955001</t>
  </si>
  <si>
    <t>Водное хозяйство</t>
  </si>
  <si>
    <t>0029901</t>
  </si>
  <si>
    <t>Бюджетные инвестиции в объекты муниципальной собственности муниципальным унитарным предприятиям, основанным на праве хозяйственного ведения</t>
  </si>
  <si>
    <t>Обеспечение деятельности единой диспетчерской службы</t>
  </si>
  <si>
    <t>4310100</t>
  </si>
  <si>
    <t>Прочая закупка товаров, работ и услуг для муниципальных нужд</t>
  </si>
  <si>
    <t>4360900</t>
  </si>
  <si>
    <t>4508500</t>
  </si>
  <si>
    <t>КУЛЬТУРА, КИНЕМАТОГРАФИЯ</t>
  </si>
  <si>
    <t xml:space="preserve">Государственная поддержка в сфере культуры, кинематографии </t>
  </si>
  <si>
    <t>5140100</t>
  </si>
  <si>
    <t>5129700</t>
  </si>
  <si>
    <t>ФИЗИЧЕСКАЯ КУЛЬТУРА И СПОРТ</t>
  </si>
  <si>
    <t>380</t>
  </si>
  <si>
    <t>Аппарат местных администраций</t>
  </si>
  <si>
    <t>0021200</t>
  </si>
  <si>
    <t>Депутаты представительского  органа муниципального образования</t>
  </si>
  <si>
    <t>3510200</t>
  </si>
  <si>
    <t xml:space="preserve"> Компенсация выпадающих доходов  организациям, предоставляющим населению услуги теплоснабжения по тарифам, не обеспечивающим возмещение издержек</t>
  </si>
  <si>
    <t>6000400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</si>
  <si>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</si>
  <si>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органов, а также в результате деятельности казенных учреждений</t>
  </si>
  <si>
    <t xml:space="preserve"> Благоустройство</t>
  </si>
  <si>
    <t>4209900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</si>
  <si>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</si>
  <si>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</si>
  <si>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612</t>
  </si>
  <si>
    <t>Субсидии бюджетным учреждениям на иные цели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</si>
  <si>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</si>
  <si>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</si>
  <si>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622</t>
  </si>
  <si>
    <t>Субсидии автономным учреждениям на иные цели</t>
  </si>
  <si>
    <t>610</t>
  </si>
  <si>
    <t>Субсидии бюджетным учреждениям</t>
  </si>
  <si>
    <t xml:space="preserve">Субсидии автономным учреждениям </t>
  </si>
  <si>
    <t>4219900</t>
  </si>
  <si>
    <t>620</t>
  </si>
  <si>
    <t>4219912</t>
  </si>
  <si>
    <t>4239900</t>
  </si>
  <si>
    <t>4297800</t>
  </si>
  <si>
    <t>4320200</t>
  </si>
  <si>
    <t xml:space="preserve"> Молодежная политика и оздоровление детей</t>
  </si>
  <si>
    <t>Оздоровление детей</t>
  </si>
  <si>
    <t>0029900</t>
  </si>
  <si>
    <t>Обеспечение деятельности подведомственных  учреждений</t>
  </si>
  <si>
    <t>4829900</t>
  </si>
  <si>
    <t>Государственная поддержка  средств массовой информации</t>
  </si>
  <si>
    <t>4578500</t>
  </si>
  <si>
    <t>0650300</t>
  </si>
  <si>
    <t xml:space="preserve"> Обслуживание государственного внутреннего и муниципального долга</t>
  </si>
  <si>
    <t>Обслуживание муниципального долга</t>
  </si>
  <si>
    <t>730</t>
  </si>
  <si>
    <t>5160130</t>
  </si>
  <si>
    <t>Выравнивание бюджетной обеспеченности поселений из районного фонда финансовой поддержки</t>
  </si>
  <si>
    <t>511</t>
  </si>
  <si>
    <t xml:space="preserve">Дотации на выравнивание бюджетной обеспеченности </t>
  </si>
  <si>
    <t>810</t>
  </si>
  <si>
    <t>Субсидии юридическим лицам (кроме муниципальных учреждений) и физическим лицам - производителям товаров, работ, услуг</t>
  </si>
  <si>
    <t>5058600</t>
  </si>
  <si>
    <t>Приобретение товаров, работ, услуг в пользу граждан</t>
  </si>
  <si>
    <t>323</t>
  </si>
  <si>
    <t>7950021</t>
  </si>
  <si>
    <t>322</t>
  </si>
  <si>
    <t>Субсидии гражданам на приобретение жилья</t>
  </si>
  <si>
    <t xml:space="preserve"> ЗДРАВООХРАНЕНИЕ</t>
  </si>
  <si>
    <t>7950011</t>
  </si>
  <si>
    <t>Обеспечение деятельности органа управления по организации и осуществлению опеки и попечительства совершеннолетних</t>
  </si>
  <si>
    <t>Обеспечение отдельных государственных полномочий в сфере социальной поддержки населения</t>
  </si>
  <si>
    <t>Общеэкономические вопросы</t>
  </si>
  <si>
    <t>"Дополнительные меры, направленные на снижение напряженности на рынке труда в Калининградской области"</t>
  </si>
  <si>
    <t>7950000</t>
  </si>
  <si>
    <t>321</t>
  </si>
  <si>
    <t>Пособия и компенсации гражданам и иные социальные выплаты, кроме публичных нормативных обязательств</t>
  </si>
  <si>
    <t>7951001</t>
  </si>
  <si>
    <t>Мобилизационная и вневойсковая подготовка</t>
  </si>
  <si>
    <t>Компенсация части  платы, взимаемой с родителей или законных представителей  за содержание ребенка в образовательных организациях, реализующих основную общеобразовательную программу дошкольного образования,  за счет средств областного бюджета</t>
  </si>
  <si>
    <t>5201002</t>
  </si>
  <si>
    <t>4429900</t>
  </si>
  <si>
    <t>4409900</t>
  </si>
  <si>
    <t>Дворцы и дома культуры, другие учреждения культуры</t>
  </si>
  <si>
    <t>4400000</t>
  </si>
  <si>
    <t>4420000</t>
  </si>
  <si>
    <t>0920000</t>
  </si>
  <si>
    <t>0929900</t>
  </si>
  <si>
    <t>852</t>
  </si>
  <si>
    <t>Уплата прочих налогов, сборов и иных платежей</t>
  </si>
  <si>
    <t>411</t>
  </si>
  <si>
    <t>Целевая программа "Газификация муниципального образования "Светлогорский район" на 2011-2015 годы"</t>
  </si>
  <si>
    <t>Строительство газопровода для перевода на природный газ котельной №5 пос. Донское</t>
  </si>
  <si>
    <t>7950401</t>
  </si>
  <si>
    <t>Бюджетные инвестиции в объекты муниципальной собственности казенным учреждениям</t>
  </si>
  <si>
    <t>7950402</t>
  </si>
  <si>
    <t xml:space="preserve">Реконструкция (перевод) на природный газ котельной № 5 пос. Донское </t>
  </si>
  <si>
    <t>Строительство детского садика на 150 мест</t>
  </si>
  <si>
    <t>Дорожное хозяйство (дорожные фонды)</t>
  </si>
  <si>
    <t>Долгосрочная целевая программа "Повышение безопасности дорожного движения в 2009-2012 годах"</t>
  </si>
  <si>
    <t>7950411</t>
  </si>
  <si>
    <t>7950101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</si>
  <si>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</t>
  </si>
  <si>
    <t>Муниципальная целевая программа "Энергосбережение и повышение энергетической эффективности муниципального образования "Светлогорский район" на 2010-2020 годы"</t>
  </si>
  <si>
    <t>7954001</t>
  </si>
  <si>
    <t>7950012</t>
  </si>
  <si>
    <t>5221600</t>
  </si>
  <si>
    <t>Обеспечение деятельности подведомственных учреждений, за счет субвенции из областного бюджета</t>
  </si>
  <si>
    <t>Муниципальное учреждение "Архив Светлогорского района"</t>
  </si>
  <si>
    <t>Муниципальное учреждение "Управление жилищно-коммунального хозяйства администрации Светлогорского района"</t>
  </si>
  <si>
    <t>132</t>
  </si>
  <si>
    <t>851</t>
  </si>
  <si>
    <t>Уплата налога на имущество организаций и земельного налога</t>
  </si>
  <si>
    <t>Всего расходов</t>
  </si>
  <si>
    <t>5201302</t>
  </si>
  <si>
    <t>5201305</t>
  </si>
  <si>
    <t>5201303</t>
  </si>
  <si>
    <t>0020404</t>
  </si>
  <si>
    <t>2020404</t>
  </si>
  <si>
    <t>795 01 01</t>
  </si>
  <si>
    <t>0020405</t>
  </si>
  <si>
    <t>Целевая программа "Дополнительные меры, направленные на снижение напряженности на рынке труда в Калининградской области"</t>
  </si>
  <si>
    <t>795 04 11</t>
  </si>
  <si>
    <t>092 99 00</t>
  </si>
  <si>
    <t>4359912</t>
  </si>
  <si>
    <t>5089902</t>
  </si>
  <si>
    <t>Обеспечение деятельности учреждений социального обслуживания населения</t>
  </si>
  <si>
    <t>520 13 02</t>
  </si>
  <si>
    <t>Обеспечение деятельности органа управления по организации и осуществлению опеки и попечительства несовершеннолетних</t>
  </si>
  <si>
    <t>520 13 05</t>
  </si>
  <si>
    <t>002 04 04</t>
  </si>
  <si>
    <t>Обеспечение деятельности органа управления по организации и осуществлению опеки и попечительства в отношении совершеннолетних граждан</t>
  </si>
  <si>
    <t>482 99 00</t>
  </si>
  <si>
    <t>Определения перечня должностных лиц, уполномоченных составлять протоколы об административных правонарушениях</t>
  </si>
  <si>
    <t>4200200</t>
  </si>
  <si>
    <t>4200000</t>
  </si>
  <si>
    <t>Детские дошкольные учреждения</t>
  </si>
  <si>
    <t>Предоставление услуг по воспитанию и обеспечению детей-инвалидов в муниципальных дошкольных образовательных учреждениях Калининградской области</t>
  </si>
  <si>
    <t>Муниципальная целевая программа "Неотложные меры по борьбе с туберкулезом"</t>
  </si>
  <si>
    <t>3510500</t>
  </si>
  <si>
    <t>Мероприятия в области коммунального хозяйства разработка проектно-сметной документации</t>
  </si>
  <si>
    <t>Муниципальное казенное учреждение "Управление капитального строительства администрации Светлогорский район"</t>
  </si>
  <si>
    <t>7957001</t>
  </si>
  <si>
    <t>Упорядочение системы водоснабжение и работы ВНС 3-го подъема со станцией обезжелезивания</t>
  </si>
  <si>
    <t xml:space="preserve">Дотации на обеспечение мер по дополнительной поддержке </t>
  </si>
  <si>
    <t>5170500</t>
  </si>
  <si>
    <t>512</t>
  </si>
  <si>
    <t>поправки</t>
  </si>
  <si>
    <t>795 07 02</t>
  </si>
  <si>
    <t>7950702</t>
  </si>
  <si>
    <t>Субсидии некоммерческим организациям</t>
  </si>
  <si>
    <t>7955004</t>
  </si>
  <si>
    <t>7955002</t>
  </si>
  <si>
    <t>7955005</t>
  </si>
  <si>
    <t>ФЦП "Уличная хозяйственно-бытовая канализация по ул. Тельмана, пос. Отрадное г. Светлогорска",средства бюджета МО г.п. "Город Светлогорск"</t>
  </si>
  <si>
    <t xml:space="preserve">Мероприятия в области коммунального хозяйства </t>
  </si>
  <si>
    <t>351 02 00</t>
  </si>
  <si>
    <t>ФЦП "Строительство берегоукрепительных сооружений озера Тихое и реки Светлогорки"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</si>
  <si>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</si>
  <si>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Целевая программа Калининградской области "Дети-сироты на 2012-2016 годы" средства областного бюджета</t>
  </si>
  <si>
    <t>Закон Калининградской области от 28.12.2006г №109 "О выплате денежных средств на содержание детей, находящихся под опекой(попечительством)" (субвенции на содержание детей-сирот, детей, оставшихся без попечения родителей, переданных на воспитание под опеку(попечительство), в приемные и патронатные семьи, а также на выплату заработной платы приемному родителю и патронатному воспитателю)</t>
  </si>
  <si>
    <t>Муниципальное учреждение "Районный Совет депутатов Светлогорского района"</t>
  </si>
  <si>
    <t>Программа "Развитие информационных систем обеспечения градостроительной деятельности"</t>
  </si>
  <si>
    <t>Муниципальная целевая программа "Доступная для инвалидов среда жизнедеятельности на 2008-2012гг."</t>
  </si>
  <si>
    <t>Долгосрочная целевая программа "Обеспечение жильем молодых семей" на 2011-2015 годы</t>
  </si>
  <si>
    <t>Областная инвестиционная программа "Упорядочение системы водоснабжения и работы ВНС 3-го подъема со станцией обезжелезивания г. Светлогорска"</t>
  </si>
  <si>
    <t>Целевая программа Калининградской области "Дети-сироты" на 2012-2016 годы средства областного бюджета</t>
  </si>
  <si>
    <t>Муниципальная целевая программа "Обеспечение жильем молодых семей в муниципальном образовании Светлогорский район на 2009-2010 годы"</t>
  </si>
  <si>
    <t>Закон Калининградской области от 28.12.2006г №109 "О выплате денежных средств на содержание детей, находящихся под опекой (попечительством)" (субвенции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воспитателю)</t>
  </si>
  <si>
    <t>изменения на 27.02.2012</t>
  </si>
  <si>
    <t>0920393</t>
  </si>
  <si>
    <t xml:space="preserve">Бюджетные инвестиции в объекты муниципальной собственности  казенным учреждениям </t>
  </si>
  <si>
    <t>4361203</t>
  </si>
  <si>
    <t>Обеспечение подвоза учащихся к муниципальным общеобразовательным учреждениям</t>
  </si>
  <si>
    <t>5203500</t>
  </si>
  <si>
    <t>Поддержка мер по обеспечению повышения заработной платы работникам детских дошкольных учреждений и учреждений дополнительного образования детей</t>
  </si>
  <si>
    <t>5200901</t>
  </si>
  <si>
    <t>Ежемемячное денежное вознаграждение за классное руководство</t>
  </si>
  <si>
    <t>5204100</t>
  </si>
  <si>
    <t>Осуществление полномочий Калининградской области в сфере обеспечения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</si>
  <si>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5204200</t>
  </si>
  <si>
    <t>Фонд стимулирования качества образования в общеобразовательных учреждениях</t>
  </si>
  <si>
    <t>5080001</t>
  </si>
  <si>
    <t>Прочие межбюджетные трансферты общего характера</t>
  </si>
  <si>
    <t>5210402</t>
  </si>
  <si>
    <t>540</t>
  </si>
  <si>
    <t>Иные межбюджетные трансферты бюджетам поселений из бюджетов муниципальных районов для предупреждения чрезвычайных ситуаций</t>
  </si>
  <si>
    <t xml:space="preserve">Иные межбюджетные трансферты </t>
  </si>
  <si>
    <t>Муниципальное  учреждение  "Учетно-финансовый центр Светлогорского района"</t>
  </si>
  <si>
    <t>Обеспечение подвоза учащихся к муниципальным общеобразовательным учреждениям, за счет средств местного бюджета</t>
  </si>
  <si>
    <t>Обеспечение подвоза учащихся к муниципальным общеобразовательным учреждениям, за счет средств областного бюджета</t>
  </si>
  <si>
    <t>Муниципальное казенное учреждение культуры "Светлогорская централизованная библиотечная система"</t>
  </si>
  <si>
    <t>383</t>
  </si>
  <si>
    <t>0700491</t>
  </si>
  <si>
    <t>Резервный фонд Правительства Каалининградской областина приобретение автотранспорта для органов опеки и попечительства над несовершеннолетними</t>
  </si>
  <si>
    <t>Мероприятия в области коммунального хозяйства</t>
  </si>
  <si>
    <t>5223000</t>
  </si>
  <si>
    <t>Прочая закупка товаров, работ и услуг для муниципальных нужд, за счет остатка средств на 01.01.2012г</t>
  </si>
  <si>
    <t>Пособия и компенсации гражданам и иные социальные выплаты, кроме публичных нормативных обязательств, за счет остатка средств на 01.01.2012г.</t>
  </si>
  <si>
    <t>5223211</t>
  </si>
  <si>
    <t>Предоставление молодым семьям социальных выплат на приобретение жилого помещения или строительство индивидуального жилого дома, за счет остатка средств на 01.01.2012</t>
  </si>
  <si>
    <t>Региональные мероприятия по реализации национальных проектов, за счет остатка средств на 01.01.2012</t>
  </si>
  <si>
    <t>520 09 01</t>
  </si>
  <si>
    <t>436 12 03</t>
  </si>
  <si>
    <t>436 12 13</t>
  </si>
  <si>
    <t>Совершенствование оганизации питания учащихся в общеобразовательных учреждениях</t>
  </si>
  <si>
    <t>436 12 00</t>
  </si>
  <si>
    <t>520 35 00</t>
  </si>
  <si>
    <t>520 41 00</t>
  </si>
  <si>
    <t>520 42 00</t>
  </si>
  <si>
    <t>070 04 91</t>
  </si>
  <si>
    <t>522 30 00</t>
  </si>
  <si>
    <t>522 32 11</t>
  </si>
  <si>
    <t xml:space="preserve">Приложение № 3 </t>
  </si>
  <si>
    <t>изменения на 14.05.2012</t>
  </si>
  <si>
    <t>Судебная система</t>
  </si>
  <si>
    <t>0014001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</si>
  <si>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</si>
  <si>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1004501</t>
  </si>
  <si>
    <t>5225605</t>
  </si>
  <si>
    <t>4362101</t>
  </si>
  <si>
    <t>Модернизация региональных систем общего образования</t>
  </si>
  <si>
    <t>4362193</t>
  </si>
  <si>
    <t>Модернизация региональных систем общего образования, за счет средств предусмотренных на региональные мероприятия по реализации национальных проектов</t>
  </si>
  <si>
    <t>4440201</t>
  </si>
  <si>
    <t>Средства массовой информации</t>
  </si>
  <si>
    <t>4420001</t>
  </si>
  <si>
    <t>Стимулирующие выплаты специалистам муниципальных библиотек за счет средств областного бюджета</t>
  </si>
  <si>
    <t>5225323</t>
  </si>
  <si>
    <t>5225944</t>
  </si>
  <si>
    <t>ФЦП "Газопроводы вводы к жилым домам №5,7,9 по ул. Маяковского"</t>
  </si>
  <si>
    <t>ФЦП "Разработка проектной документации на распределительные газопроводы и газовые вводы к жилым домам пос. Донское"</t>
  </si>
  <si>
    <t>5225965</t>
  </si>
  <si>
    <t>ФЦП "Строительство газопровода для перевода на природный газ котельной №5 пос. Донское"</t>
  </si>
  <si>
    <t>Бюджетные инвестиции в объекты муниципальной собственности казенным учреждениям за счет средств областного бюджета</t>
  </si>
  <si>
    <t>Бюджетные инвестиции в объекты муниципальной собственности казенным учреждениям за счет средств районного бюджета</t>
  </si>
  <si>
    <t>7950403</t>
  </si>
  <si>
    <t>Бюджетные инвестиции в объекты муниципальной собственности казенным учреждениям за счет  бюджета МО г.п. "Город Светлогорск"</t>
  </si>
  <si>
    <t>Бюджетные инвестиции в объекты муниципальной собственности казенным учреждениям за счет  бюджета МО г.п. Поселок Донское</t>
  </si>
  <si>
    <t>5220000</t>
  </si>
  <si>
    <t>Региональные целевые программы</t>
  </si>
  <si>
    <t>Муниципальные целевые программы</t>
  </si>
  <si>
    <t>5225015</t>
  </si>
  <si>
    <t>ФЦП "Строительство берегоукрепительных сооружений озера Тихое и реки Светлогорка в г. Светлогорске Калининградской области (III этап строительства)"</t>
  </si>
  <si>
    <t>Федеральная целевая программа развития Калининградской области на период до 2015 года "Строительство берегоукрепительных сооружений озера Тихое и реки Светлогорка в г. Светлогорске Калининградской области (I и II этапы строительства)"</t>
  </si>
  <si>
    <t>Бюджетные инвестиции в объекты муниципальной собственности казенным учреждениям за счет остатка на 01.01.2012г. средств областного бюджета</t>
  </si>
  <si>
    <t>5225423</t>
  </si>
  <si>
    <t>ФЦП "Реконструкция (перевод) на природный газ котельной № 5 пос. Донское по адресу:Калининградская область, пос. Донское, ул. Железнодорожная 1а"</t>
  </si>
  <si>
    <t>5225593</t>
  </si>
  <si>
    <t>ФЦП "Строительство детского садика на 150 мест"</t>
  </si>
  <si>
    <t>5225154</t>
  </si>
  <si>
    <t>ФЦП "Реконструкция здания детской школы искусств по Калининградскому пр-ту, 32 в г. Светлогорске Калининградской области"</t>
  </si>
  <si>
    <t>1008820</t>
  </si>
  <si>
    <t>3500300</t>
  </si>
  <si>
    <t>6000500</t>
  </si>
  <si>
    <t>Прочие мероприятия по благоустройству</t>
  </si>
  <si>
    <t>Субсидии автономным учреждениям на иные цели (за счет остатка денежных средств на 01.01.2012г.)</t>
  </si>
  <si>
    <t>Жилищное хозяйство</t>
  </si>
  <si>
    <t>Мероприятия в области жилищного хозяйства</t>
  </si>
  <si>
    <t>Прочая закупка товаров, работ и услуг для муниципальных нужд (за счет остатка денежных средств на 01.01.2012)</t>
  </si>
  <si>
    <t>6000100</t>
  </si>
  <si>
    <t>Уличное освещение</t>
  </si>
  <si>
    <t>522 53 23</t>
  </si>
  <si>
    <t>522 59 44</t>
  </si>
  <si>
    <t>522 59 65</t>
  </si>
  <si>
    <t>795 04 03</t>
  </si>
  <si>
    <t>522 00 00</t>
  </si>
  <si>
    <t>100 45 01</t>
  </si>
  <si>
    <t>522 50 15</t>
  </si>
  <si>
    <t>522 56 05</t>
  </si>
  <si>
    <t>795 50 04</t>
  </si>
  <si>
    <t>522 54 23</t>
  </si>
  <si>
    <t>795 04 02</t>
  </si>
  <si>
    <t>600 01 00</t>
  </si>
  <si>
    <t>092 03 93</t>
  </si>
  <si>
    <t>420 02 00</t>
  </si>
  <si>
    <t>522 55 93</t>
  </si>
  <si>
    <t>436 21 01</t>
  </si>
  <si>
    <t>436 21 93</t>
  </si>
  <si>
    <t>522 51 54</t>
  </si>
  <si>
    <t>ФЦП "Реконструкция детской школы искусств"</t>
  </si>
  <si>
    <t>436 12 12</t>
  </si>
  <si>
    <t>522 16 00</t>
  </si>
  <si>
    <t>442 00 01</t>
  </si>
  <si>
    <t>444 02 01</t>
  </si>
  <si>
    <t>100 88 20</t>
  </si>
  <si>
    <t>Подпрограмма "Обеспечение жильем молодых семей" Предоставление молодым семьям социальных выплат на приобретение жилого помещения или строительство индивидуального жилого дома, за счет остатка средств на 01.01.2012</t>
  </si>
  <si>
    <t>5210403</t>
  </si>
  <si>
    <t>Иные межбюджетные трансферты бюджетам поселений из бюджетов муниципальных районов</t>
  </si>
  <si>
    <t xml:space="preserve">Бюджетные инвестиции в объекты муниципальной собственности казенным учреждениям </t>
  </si>
  <si>
    <t>5202502</t>
  </si>
  <si>
    <t>Премирование победителй Всероссийского конкурса на звание  "Самое благоустроенное городское (сельское) поселение Россий</t>
  </si>
  <si>
    <t>4320201</t>
  </si>
  <si>
    <t>4320202</t>
  </si>
  <si>
    <t>Оздоровление детей за счет средств местного бюджета</t>
  </si>
  <si>
    <t>Прочая закупка товаров, работ и услуг в пользу граждан</t>
  </si>
  <si>
    <t>Оздоровление детей за счет средств областного бюджета</t>
  </si>
  <si>
    <t>432 02 01</t>
  </si>
  <si>
    <t>4361212</t>
  </si>
  <si>
    <t xml:space="preserve">Прочие мероприятия по благоустройству </t>
  </si>
  <si>
    <t>6000501</t>
  </si>
  <si>
    <t>4910111</t>
  </si>
  <si>
    <t>314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</si>
  <si>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</si>
  <si>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</si>
  <si>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600 05 01</t>
  </si>
  <si>
    <t>520 25 02</t>
  </si>
  <si>
    <t>Межбюджетные трансферты</t>
  </si>
  <si>
    <t>521 00 00</t>
  </si>
  <si>
    <t>521 04 02</t>
  </si>
  <si>
    <t>521 04 03</t>
  </si>
  <si>
    <t>491 01 11</t>
  </si>
  <si>
    <t>5221144</t>
  </si>
  <si>
    <t>Бюджетные инвестиции в объекты муниципальной собственности казенным учреждениям (Софинансирование работ по ремонту дорог в МО "Поселок Донское")</t>
  </si>
  <si>
    <t>Бюджетные инвестиции в объекты муниципальной собственности казенным учреждениям (Софинансирование работ по ремонту дорог в МО  "Поселок Приморье")</t>
  </si>
  <si>
    <t>Бюджетные инвестиции в объекты муниципальной собственности казенным учреждениям (Строительство, реконструкция  и капитальный ремонт автомобильных дорог центральной части городов/поселений Калининградской области г. Светлогорск ул. Гагарина)</t>
  </si>
  <si>
    <t>Бюджетные инвестиции в объекты муниципальной собственности казенным учреждениям (Строительство, реконструкция,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г. Светлогорск ул. Мичурина, Пионерская)</t>
  </si>
  <si>
    <t>Бюджетные инвестиции в объекты муниципальной собственности казенным учреждениям (Строительство, реконструкция,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пос. Донское ул. Садовая, 4-10; Садовая, 2-4)</t>
  </si>
  <si>
    <t>Бюджетные инвестиции в объекты муниципальной собственности казенным учреждениям (Строительство, реконструкция,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пос. Приморье ул. Приморская, ул. Озерная, ул. Садовая до пересечения с ул. Озерной)</t>
  </si>
  <si>
    <t>изменения на 26.06.2012</t>
  </si>
  <si>
    <t>Муниципальное казенное учреждение "Отдел по бюджету и финансам Светлогорского района"</t>
  </si>
  <si>
    <t>Формирование в Калининградской области сети базовых образовательных учреждений, обеспечивающих совместное обучение инвалидов и лиц, не имеющих нарушений развития за счет остатка средств на 01.01.2012 года</t>
  </si>
  <si>
    <t>Муниципальное казенное учреждение "Отдел социальной защиты населения администрации Светлогорского района"</t>
  </si>
  <si>
    <t>Меры социальной поддержки населения по публичным нормативным обязательствам</t>
  </si>
  <si>
    <t>Целевые программы муниципальных образований "Доступная для инвалидов среда жизнедеятельности на 2008-2012гг."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</si>
  <si>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</si>
  <si>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Целевая программа Калининградской области "Развитие Калининградской области как туристического центра на 2007-2014годы", за счет остатка средств на 01.01.2012г.</t>
  </si>
  <si>
    <t>Муниципальная целевая программа "Неотложные меры борьбы с туберкулезом в Светлогорском районе на 2008-2012 годы"</t>
  </si>
  <si>
    <t>Муниципальная целевая программа "Вакцинопрофилактика на 2010-2012 годы"</t>
  </si>
  <si>
    <t>Целевая программа Калининградской области "Дети-сироты" на 2012-2016 годы , за счет остатка средств на 01.01.2012</t>
  </si>
  <si>
    <t>Целевая программа Калининградской области "Развитие Калининградской области как туристического центра на 2007-2014 годы", за счет остатка средств на 01.01.2012г.</t>
  </si>
  <si>
    <t>Резервный фонд Правительства Калининградской области на приобретение автотранспорта для органов опеки и попечительства над несовершеннолетними</t>
  </si>
  <si>
    <t>Муниципальное казенное учреждение "Дом Культуры п. Приморье"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</si>
  <si>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</t>
  </si>
  <si>
    <t>изменения на 01.09.2012</t>
  </si>
  <si>
    <t>изменения на 01.10.2012</t>
  </si>
  <si>
    <t>Осуществление части полномочий в сфере установленных функций органов местного самоуправления</t>
  </si>
  <si>
    <t>0020401</t>
  </si>
  <si>
    <t>Осуществление части полномочий в сфере молодежной политики</t>
  </si>
  <si>
    <t>4310101</t>
  </si>
  <si>
    <t>Осуществление части полномочий в сфере культуры</t>
  </si>
  <si>
    <t>4508501</t>
  </si>
  <si>
    <t>Мероприятия в области спорта и физической культуры</t>
  </si>
  <si>
    <t>Осуществление части полномочий в области физической культуры</t>
  </si>
  <si>
    <t>5129701</t>
  </si>
  <si>
    <t>631</t>
  </si>
  <si>
    <t>4200400</t>
  </si>
  <si>
    <t>Субсидия на открываемые дополнительные места в дошкольных учреждениях</t>
  </si>
  <si>
    <t>5220100</t>
  </si>
  <si>
    <t>Целевая программа "Развитие образование"</t>
  </si>
  <si>
    <t>5223500</t>
  </si>
  <si>
    <t>Целевая программа "Молодежь"</t>
  </si>
  <si>
    <t>Субсидия на пррщрение лучших учителей и педагогических работников в рамках приоритетного национального проекта "Образование" в 2012 году</t>
  </si>
  <si>
    <t>1008828</t>
  </si>
  <si>
    <t xml:space="preserve">Подпрограмма "Обеспечение жильем молодых семей" </t>
  </si>
  <si>
    <t>Осуществление части полномочий в сфере социальной политики</t>
  </si>
  <si>
    <t>5058601</t>
  </si>
  <si>
    <t>Осуществление части полномочий в сфере социальной политики- оказание других видов социальной помощи</t>
  </si>
  <si>
    <t>5140101</t>
  </si>
  <si>
    <t>Резервный фонд Правительства Калининградской области на приобретение компьютерного оборудования</t>
  </si>
  <si>
    <t>Комплектование книжных фондов библиотек муниципальных образований</t>
  </si>
  <si>
    <t>4400201</t>
  </si>
  <si>
    <t xml:space="preserve">Федеральная целевая программа развития Калининградской области на период до 2015 года </t>
  </si>
  <si>
    <t>Бюджетные инвестиции в объекты муниципальной собственности казенным учреждениям за счет средств федерального бюджета "Строительство берегоукрепительных сооружений озера Тихое и реки Светлогорка в г. Светлогорске Калининградской области (I и II этапы строительства)"</t>
  </si>
  <si>
    <t>Бюджетные инвестиции в объекты муниципальной собственности казенным учреждениям за счет средств федерального бюджета "Строительство берегоукрепительных сооружений озера Тихое и реки Светлогорка в г. Светлогорске Калининградской области (III этап строительства)"</t>
  </si>
  <si>
    <t>Софинансирование объектв "Упорядочение системы водоснабжение и работы ВНС 3-го подъема со станцией обезжелезивания"</t>
  </si>
  <si>
    <t>Бюджетные инвестиции в объекты муниципальной собственности казенным учреждениям (Софинансирование"Реконструкция (перевод) на природный газ котельной № 5 пос. Донское по адресу:Калининградская область, пос. Донское, ул. Железнодорожная 1а")</t>
  </si>
  <si>
    <t>Бюджетные инвестиции в объекты муниципальной собственности казенным учреждениям (софинансирование "Строительство газопровода для перевода на природный газ котельной №5 пос. Донское")</t>
  </si>
  <si>
    <t xml:space="preserve"> Бюджетные инвестиции в объекты муниципальной собственности казенным учреждениям (Софинансирование "Газопроводы вводы к жилым домам №5,7,9 по ул. Маяковского"</t>
  </si>
  <si>
    <t xml:space="preserve">МБТ Донское </t>
  </si>
  <si>
    <t xml:space="preserve">осущ.полномочий Города </t>
  </si>
  <si>
    <t>внутренние перемещения</t>
  </si>
  <si>
    <t>доп.средства ОБ</t>
  </si>
  <si>
    <t>7950404</t>
  </si>
  <si>
    <t>Осуществление части полномочий в области коммунального хозяйства (разработка ПСД в рамках реализации проекта "Повышение чистоты вод Балтийского моря путём развития системы управления водными ресурсами"</t>
  </si>
  <si>
    <t>3510501</t>
  </si>
  <si>
    <t>МБТ Приморье</t>
  </si>
  <si>
    <t>002 04 01</t>
  </si>
  <si>
    <t>351 05 01</t>
  </si>
  <si>
    <t>431 01 01</t>
  </si>
  <si>
    <t>450 85 01</t>
  </si>
  <si>
    <t>512 97 01</t>
  </si>
  <si>
    <t>522 01 00</t>
  </si>
  <si>
    <t>522 01 01</t>
  </si>
  <si>
    <t>522 35 00</t>
  </si>
  <si>
    <t>505 86 01</t>
  </si>
  <si>
    <t>514 01 01</t>
  </si>
  <si>
    <t>100 88 28</t>
  </si>
  <si>
    <t>440 02 01</t>
  </si>
  <si>
    <t>420 04 00</t>
  </si>
  <si>
    <t>7955944</t>
  </si>
  <si>
    <t>795 59 44</t>
  </si>
  <si>
    <t>изменения на 21.11.2012</t>
  </si>
  <si>
    <t>Иные межбюджетные трансферты бюджетам поселений из бюджетов муниципальных, соответствии с заключенными соглашениями районов</t>
  </si>
  <si>
    <t xml:space="preserve">Приложение № 4 </t>
  </si>
  <si>
    <t>0013881</t>
  </si>
  <si>
    <t>000</t>
  </si>
  <si>
    <t>Государственная регистрация актов гражданского состояния, за счет остатка</t>
  </si>
  <si>
    <t>5223100</t>
  </si>
  <si>
    <t>Приобретение товаров, работ, услуг в пользу граждан, за счет остатка средств на 01.01.2012 года</t>
  </si>
  <si>
    <t>5220800</t>
  </si>
  <si>
    <t>ЦПК "Физкультура и спорт" (спорт.инвентарь)</t>
  </si>
  <si>
    <t>5226800</t>
  </si>
  <si>
    <t>Региональная программа в области энергосбережения и повышения энергетической эффективности Калининградской области на 2010-15 годы с перспективой до 2020 года</t>
  </si>
  <si>
    <t>0790001</t>
  </si>
  <si>
    <t xml:space="preserve"> Мероприятия по реализации национального проектов в Калининградской области</t>
  </si>
  <si>
    <t>1009080</t>
  </si>
  <si>
    <t xml:space="preserve"> Государственная программа "Доступная среда на 2011-2015 годы"</t>
  </si>
  <si>
    <t>4219903</t>
  </si>
  <si>
    <t>5200981</t>
  </si>
  <si>
    <t>Массовый спорт</t>
  </si>
  <si>
    <t xml:space="preserve"> ЦПК "Физкультура и спорт" (спорт.инвентарь)</t>
  </si>
  <si>
    <t>Проведение мероприятий по подключению общедоступных  библиотек Калининградской области к сети  Интернет и развитие системы библиотечного дела с учетом задачи расширения информационных технологий и оцифровки в 2012 году</t>
  </si>
  <si>
    <t>4400901</t>
  </si>
  <si>
    <t>5220200</t>
  </si>
  <si>
    <t>Целевые программв Калининградской области</t>
  </si>
  <si>
    <t>Бюджетные инвестиции в объекты муниципальной собственности казенным учреждениям за счет средств федерального бюджета</t>
  </si>
  <si>
    <t>0960100</t>
  </si>
  <si>
    <t xml:space="preserve"> 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</si>
  <si>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Национальная экономика</t>
  </si>
  <si>
    <t>001 38 81</t>
  </si>
  <si>
    <t>520 09 81</t>
  </si>
  <si>
    <t>522 31 00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</si>
  <si>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 софинансирование за счет средств областного бюджета</t>
  </si>
  <si>
    <t>522 08 00</t>
  </si>
  <si>
    <t>522 02 00</t>
  </si>
  <si>
    <t>На реализацию мероприятий целевой программы Калининградской области "Развитие культуры Калининградской области (2007-2013 годы)"</t>
  </si>
  <si>
    <t>522 68 00</t>
  </si>
  <si>
    <t>096 01 00</t>
  </si>
  <si>
    <t>421 99 03</t>
  </si>
  <si>
    <t>100 90 80</t>
  </si>
  <si>
    <t>1008900</t>
  </si>
  <si>
    <t>ФЦП Развитие образования на 2011-2015гг</t>
  </si>
  <si>
    <t>изменения на 24.12.2012</t>
  </si>
  <si>
    <t>Первоначальный план</t>
  </si>
  <si>
    <t>Уточненный план</t>
  </si>
  <si>
    <t>Исполнено</t>
  </si>
  <si>
    <t>% исполнения</t>
  </si>
  <si>
    <t>5221700</t>
  </si>
  <si>
    <t>Целевая программа "Развитие образования на 2011-2015годы"</t>
  </si>
  <si>
    <t>522 17 00</t>
  </si>
  <si>
    <t>от ______________ 2013 года № ___</t>
  </si>
  <si>
    <t>00 140 01</t>
  </si>
  <si>
    <t>Распределение  бюджетных ассигнований за 2012 год  по разделам, подразделам и целевым статьям  классификации расходов  бюджета  муниципального образования «Светлогорский район»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</si>
  <si>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«Светлогорский район» за 2012 год</t>
  </si>
  <si>
    <t>от ____ __________ 2013 года № ___</t>
  </si>
  <si>
    <t>Обеспечение деятельности подведомственных учреждений за счет резервного фонда</t>
  </si>
  <si>
    <t>Софинансирование объектов "Упорядочение системы водоснабжение и работы ВНС 3-го подъема со станцией обезжелезивания"</t>
  </si>
  <si>
    <t>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</si>
  <si>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Премирование победителей Всероссийского конкурса на звание  "Самое благоустроенное городское (сельское) поселение России"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</si>
</sst>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2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00B0F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Fill="1"/>
    <xf numFmtId="4" fontId="2" fillId="0" borderId="0" xfId="0" applyNumberFormat="1" applyFont="1" applyFill="1" applyAlignment="1">
      <alignment horizontal="right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wrapText="1"/>
    </xf>
    <xf numFmtId="49" fontId="1" fillId="2" borderId="5" xfId="0" applyNumberFormat="1" applyFont="1" applyFill="1" applyBorder="1" applyAlignment="1">
      <alignment horizontal="center" shrinkToFit="1"/>
    </xf>
    <xf numFmtId="4" fontId="1" fillId="2" borderId="5" xfId="0" applyNumberFormat="1" applyFont="1" applyFill="1" applyBorder="1" applyAlignment="1" applyProtection="1">
      <alignment horizontal="right" shrinkToFit="1"/>
      <protection locked="0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shrinkToFit="1"/>
    </xf>
    <xf numFmtId="4" fontId="1" fillId="2" borderId="1" xfId="0" applyNumberFormat="1" applyFont="1" applyFill="1" applyBorder="1" applyAlignment="1" applyProtection="1">
      <alignment horizontal="right" shrinkToFit="1"/>
      <protection locked="0"/>
    </xf>
    <xf numFmtId="0" fontId="2" fillId="2" borderId="2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shrinkToFit="1"/>
    </xf>
    <xf numFmtId="4" fontId="2" fillId="2" borderId="1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/>
    <xf numFmtId="49" fontId="2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4" fontId="2" fillId="3" borderId="1" xfId="0" applyNumberFormat="1" applyFont="1" applyFill="1" applyBorder="1" applyAlignment="1" applyProtection="1">
      <alignment horizontal="right" shrinkToFit="1"/>
      <protection locked="0"/>
    </xf>
    <xf numFmtId="49" fontId="2" fillId="2" borderId="6" xfId="0" applyNumberFormat="1" applyFont="1" applyFill="1" applyBorder="1" applyAlignment="1">
      <alignment horizontal="center" shrinkToFit="1"/>
    </xf>
    <xf numFmtId="0" fontId="1" fillId="2" borderId="12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wrapText="1"/>
    </xf>
    <xf numFmtId="4" fontId="1" fillId="2" borderId="13" xfId="0" applyNumberFormat="1" applyFont="1" applyFill="1" applyBorder="1" applyAlignment="1" applyProtection="1">
      <alignment horizontal="right" shrinkToFit="1"/>
      <protection locked="0"/>
    </xf>
    <xf numFmtId="4" fontId="1" fillId="0" borderId="8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wrapText="1"/>
    </xf>
    <xf numFmtId="0" fontId="5" fillId="0" borderId="0" xfId="0" applyFont="1"/>
    <xf numFmtId="164" fontId="5" fillId="3" borderId="1" xfId="0" applyNumberFormat="1" applyFont="1" applyFill="1" applyBorder="1"/>
    <xf numFmtId="0" fontId="5" fillId="3" borderId="0" xfId="0" applyFont="1" applyFill="1"/>
    <xf numFmtId="49" fontId="4" fillId="3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8" fillId="3" borderId="1" xfId="0" applyFont="1" applyFill="1" applyBorder="1"/>
    <xf numFmtId="49" fontId="8" fillId="3" borderId="1" xfId="0" applyNumberFormat="1" applyFont="1" applyFill="1" applyBorder="1" applyAlignment="1">
      <alignment horizontal="center"/>
    </xf>
    <xf numFmtId="164" fontId="8" fillId="3" borderId="1" xfId="0" applyNumberFormat="1" applyFont="1" applyFill="1" applyBorder="1"/>
    <xf numFmtId="0" fontId="8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/>
    <xf numFmtId="0" fontId="1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5" fillId="3" borderId="1" xfId="0" applyNumberFormat="1" applyFont="1" applyFill="1" applyBorder="1"/>
    <xf numFmtId="4" fontId="8" fillId="3" borderId="1" xfId="0" applyNumberFormat="1" applyFont="1" applyFill="1" applyBorder="1"/>
    <xf numFmtId="0" fontId="8" fillId="3" borderId="1" xfId="0" applyFont="1" applyFill="1" applyBorder="1" applyAlignment="1">
      <alignment wrapText="1"/>
    </xf>
    <xf numFmtId="4" fontId="5" fillId="0" borderId="0" xfId="0" applyNumberFormat="1" applyFont="1"/>
    <xf numFmtId="4" fontId="5" fillId="3" borderId="0" xfId="0" applyNumberFormat="1" applyFont="1" applyFill="1"/>
    <xf numFmtId="0" fontId="11" fillId="0" borderId="0" xfId="0" applyFont="1"/>
    <xf numFmtId="4" fontId="11" fillId="0" borderId="0" xfId="0" applyNumberFormat="1" applyFont="1"/>
    <xf numFmtId="0" fontId="3" fillId="2" borderId="1" xfId="0" applyFont="1" applyFill="1" applyBorder="1" applyAlignment="1">
      <alignment horizontal="left" wrapText="1"/>
    </xf>
    <xf numFmtId="3" fontId="4" fillId="3" borderId="5" xfId="0" applyNumberFormat="1" applyFont="1" applyFill="1" applyBorder="1" applyAlignment="1">
      <alignment horizontal="center" vertical="center"/>
    </xf>
    <xf numFmtId="0" fontId="14" fillId="0" borderId="0" xfId="0" applyFont="1"/>
    <xf numFmtId="0" fontId="8" fillId="0" borderId="0" xfId="0" applyFont="1"/>
    <xf numFmtId="0" fontId="11" fillId="3" borderId="0" xfId="0" applyFont="1" applyFill="1"/>
    <xf numFmtId="4" fontId="2" fillId="0" borderId="1" xfId="0" applyNumberFormat="1" applyFont="1" applyFill="1" applyBorder="1"/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" fontId="2" fillId="4" borderId="1" xfId="0" applyNumberFormat="1" applyFont="1" applyFill="1" applyBorder="1" applyAlignment="1" applyProtection="1">
      <alignment horizontal="right" shrinkToFit="1"/>
      <protection locked="0"/>
    </xf>
    <xf numFmtId="0" fontId="8" fillId="3" borderId="0" xfId="0" applyFont="1" applyFill="1"/>
    <xf numFmtId="4" fontId="8" fillId="4" borderId="1" xfId="0" applyNumberFormat="1" applyFont="1" applyFill="1" applyBorder="1"/>
    <xf numFmtId="0" fontId="2" fillId="2" borderId="1" xfId="0" applyFont="1" applyFill="1" applyBorder="1" applyAlignment="1">
      <alignment horizontal="left" wrapText="1"/>
    </xf>
    <xf numFmtId="0" fontId="14" fillId="3" borderId="0" xfId="0" applyFont="1" applyFill="1"/>
    <xf numFmtId="0" fontId="5" fillId="0" borderId="0" xfId="0" applyFont="1" applyFill="1"/>
    <xf numFmtId="4" fontId="8" fillId="0" borderId="1" xfId="0" applyNumberFormat="1" applyFont="1" applyFill="1" applyBorder="1"/>
    <xf numFmtId="0" fontId="2" fillId="3" borderId="6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wrapText="1"/>
    </xf>
    <xf numFmtId="0" fontId="5" fillId="4" borderId="0" xfId="0" applyFont="1" applyFill="1"/>
    <xf numFmtId="4" fontId="5" fillId="0" borderId="0" xfId="0" applyNumberFormat="1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0" fontId="5" fillId="9" borderId="0" xfId="0" applyFont="1" applyFill="1"/>
    <xf numFmtId="4" fontId="15" fillId="0" borderId="0" xfId="0" applyNumberFormat="1" applyFont="1" applyFill="1"/>
    <xf numFmtId="0" fontId="8" fillId="3" borderId="1" xfId="0" applyFont="1" applyFill="1" applyBorder="1" applyAlignment="1">
      <alignment wrapText="1"/>
    </xf>
    <xf numFmtId="0" fontId="8" fillId="0" borderId="0" xfId="0" applyFont="1" applyFill="1"/>
    <xf numFmtId="165" fontId="5" fillId="0" borderId="0" xfId="0" applyNumberFormat="1" applyFont="1"/>
    <xf numFmtId="165" fontId="5" fillId="0" borderId="1" xfId="0" applyNumberFormat="1" applyFont="1" applyBorder="1"/>
    <xf numFmtId="4" fontId="5" fillId="0" borderId="1" xfId="0" applyNumberFormat="1" applyFont="1" applyBorder="1"/>
    <xf numFmtId="165" fontId="8" fillId="0" borderId="1" xfId="0" applyNumberFormat="1" applyFont="1" applyBorder="1"/>
    <xf numFmtId="4" fontId="1" fillId="0" borderId="8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/>
    <xf numFmtId="165" fontId="1" fillId="0" borderId="8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/>
    <xf numFmtId="165" fontId="1" fillId="0" borderId="19" xfId="0" applyNumberFormat="1" applyFont="1" applyFill="1" applyBorder="1"/>
    <xf numFmtId="165" fontId="1" fillId="0" borderId="1" xfId="0" applyNumberFormat="1" applyFont="1" applyFill="1" applyBorder="1"/>
    <xf numFmtId="165" fontId="1" fillId="0" borderId="10" xfId="0" applyNumberFormat="1" applyFont="1" applyFill="1" applyBorder="1"/>
    <xf numFmtId="4" fontId="18" fillId="3" borderId="4" xfId="0" applyNumberFormat="1" applyFont="1" applyFill="1" applyBorder="1" applyAlignment="1">
      <alignment horizontal="center" vertical="center" wrapText="1"/>
    </xf>
    <xf numFmtId="4" fontId="19" fillId="3" borderId="11" xfId="0" applyNumberFormat="1" applyFont="1" applyFill="1" applyBorder="1" applyAlignment="1">
      <alignment horizontal="center" wrapText="1"/>
    </xf>
    <xf numFmtId="165" fontId="18" fillId="3" borderId="4" xfId="0" applyNumberFormat="1" applyFont="1" applyFill="1" applyBorder="1" applyAlignment="1">
      <alignment horizontal="center" vertical="center" wrapText="1"/>
    </xf>
    <xf numFmtId="165" fontId="19" fillId="3" borderId="11" xfId="0" applyNumberFormat="1" applyFont="1" applyFill="1" applyBorder="1" applyAlignment="1">
      <alignment horizontal="center" wrapText="1"/>
    </xf>
    <xf numFmtId="0" fontId="5" fillId="3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18" fillId="3" borderId="15" xfId="0" applyFont="1" applyFill="1" applyBorder="1" applyAlignment="1">
      <alignment horizontal="center" vertical="center" wrapText="1"/>
    </xf>
    <xf numFmtId="0" fontId="19" fillId="3" borderId="16" xfId="0" applyFont="1" applyFill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4" fontId="12" fillId="3" borderId="4" xfId="0" applyNumberFormat="1" applyFont="1" applyFill="1" applyBorder="1" applyAlignment="1">
      <alignment horizontal="center" vertical="center" wrapText="1"/>
    </xf>
    <xf numFmtId="4" fontId="13" fillId="3" borderId="11" xfId="0" applyNumberFormat="1" applyFont="1" applyFill="1" applyBorder="1" applyAlignment="1">
      <alignment horizont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0" fillId="3" borderId="11" xfId="0" applyNumberForma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49" fontId="1" fillId="3" borderId="3" xfId="0" applyNumberFormat="1" applyFont="1" applyFill="1" applyBorder="1" applyAlignment="1">
      <alignment horizontal="center" vertical="center" wrapText="1" shrinkToFit="1"/>
    </xf>
    <xf numFmtId="0" fontId="0" fillId="3" borderId="1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wrapText="1"/>
    </xf>
    <xf numFmtId="0" fontId="10" fillId="3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66"/>
      <color rgb="FFCC99FF"/>
      <color rgb="FFFF9900"/>
      <color rgb="FF90F12F"/>
      <color rgb="FF66FFFF"/>
      <color rgb="FFFF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AC594"/>
  <sheetViews>
    <sheetView topLeftCell="A570" zoomScaleNormal="100" workbookViewId="0">
      <selection activeCell="AB504" sqref="AB504"/>
    </sheetView>
  </sheetViews>
  <sheetFormatPr defaultRowHeight="15.75" x14ac:dyDescent="0.25"/>
  <cols>
    <col min="1" max="1" width="87.42578125" style="30" customWidth="1"/>
    <col min="2" max="2" width="5.5703125" style="30" customWidth="1"/>
    <col min="3" max="4" width="4.85546875" style="30" customWidth="1"/>
    <col min="5" max="5" width="9" style="30" customWidth="1"/>
    <col min="6" max="6" width="5.5703125" style="30" customWidth="1"/>
    <col min="7" max="7" width="14" style="30" hidden="1" customWidth="1"/>
    <col min="8" max="8" width="10.140625" style="52" hidden="1" customWidth="1"/>
    <col min="9" max="9" width="12.7109375" style="51" customWidth="1"/>
    <col min="10" max="10" width="11.42578125" style="28" hidden="1" customWidth="1"/>
    <col min="11" max="11" width="14.85546875" style="51" hidden="1" customWidth="1"/>
    <col min="12" max="12" width="13" style="30" hidden="1" customWidth="1"/>
    <col min="13" max="13" width="12.7109375" style="28" hidden="1" customWidth="1"/>
    <col min="14" max="14" width="11" style="30" hidden="1" customWidth="1"/>
    <col min="15" max="15" width="13.42578125" style="28" hidden="1" customWidth="1"/>
    <col min="16" max="16" width="11.7109375" style="70" hidden="1" customWidth="1"/>
    <col min="17" max="17" width="13.85546875" style="70" hidden="1" customWidth="1"/>
    <col min="18" max="18" width="11.7109375" style="30" hidden="1" customWidth="1"/>
    <col min="19" max="19" width="14" style="70" hidden="1" customWidth="1"/>
    <col min="20" max="20" width="11.85546875" style="70" hidden="1" customWidth="1"/>
    <col min="21" max="21" width="11.7109375" style="30" hidden="1" customWidth="1"/>
    <col min="22" max="22" width="14" style="70" hidden="1" customWidth="1"/>
    <col min="23" max="23" width="13.85546875" style="30" hidden="1" customWidth="1"/>
    <col min="24" max="24" width="14" style="70" hidden="1" customWidth="1"/>
    <col min="25" max="25" width="13.85546875" style="30" hidden="1" customWidth="1"/>
    <col min="26" max="26" width="14" style="30" customWidth="1"/>
    <col min="27" max="27" width="14.28515625" style="50" customWidth="1"/>
    <col min="28" max="28" width="11.7109375" style="84" customWidth="1"/>
    <col min="29" max="29" width="11.28515625" style="50" hidden="1" customWidth="1"/>
    <col min="30" max="16384" width="9.140625" style="28"/>
  </cols>
  <sheetData>
    <row r="1" spans="1:28" x14ac:dyDescent="0.25">
      <c r="A1" s="99" t="s">
        <v>448</v>
      </c>
      <c r="B1" s="99"/>
      <c r="C1" s="99"/>
      <c r="D1" s="99"/>
      <c r="E1" s="99"/>
      <c r="F1" s="99"/>
      <c r="G1" s="99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</row>
    <row r="2" spans="1:28" x14ac:dyDescent="0.25">
      <c r="A2" s="99" t="s">
        <v>0</v>
      </c>
      <c r="B2" s="99"/>
      <c r="C2" s="99"/>
      <c r="D2" s="99"/>
      <c r="E2" s="99"/>
      <c r="F2" s="99"/>
      <c r="G2" s="99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</row>
    <row r="3" spans="1:28" x14ac:dyDescent="0.25">
      <c r="A3" s="99" t="s">
        <v>130</v>
      </c>
      <c r="B3" s="99"/>
      <c r="C3" s="99"/>
      <c r="D3" s="99"/>
      <c r="E3" s="99"/>
      <c r="F3" s="99"/>
      <c r="G3" s="99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</row>
    <row r="4" spans="1:28" x14ac:dyDescent="0.25">
      <c r="A4" s="99" t="s">
        <v>680</v>
      </c>
      <c r="B4" s="99"/>
      <c r="C4" s="99"/>
      <c r="D4" s="99"/>
      <c r="E4" s="99"/>
      <c r="F4" s="99"/>
      <c r="G4" s="99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</row>
    <row r="5" spans="1:28" ht="5.25" customHeight="1" x14ac:dyDescent="0.25">
      <c r="A5" s="99"/>
      <c r="B5" s="99"/>
      <c r="C5" s="99"/>
      <c r="D5" s="99"/>
      <c r="E5" s="99"/>
      <c r="F5" s="99"/>
      <c r="G5" s="99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</row>
    <row r="6" spans="1:28" ht="6" customHeight="1" x14ac:dyDescent="0.25">
      <c r="A6" s="99"/>
      <c r="B6" s="99"/>
      <c r="C6" s="99"/>
      <c r="D6" s="99"/>
      <c r="E6" s="99"/>
      <c r="F6" s="99"/>
      <c r="G6" s="99"/>
      <c r="I6" s="50"/>
      <c r="K6" s="50"/>
    </row>
    <row r="7" spans="1:28" ht="33.75" customHeight="1" x14ac:dyDescent="0.3">
      <c r="A7" s="115" t="s">
        <v>679</v>
      </c>
      <c r="B7" s="115"/>
      <c r="C7" s="115"/>
      <c r="D7" s="115"/>
      <c r="E7" s="115"/>
      <c r="F7" s="115"/>
      <c r="G7" s="115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</row>
    <row r="8" spans="1:28" ht="16.5" thickBot="1" x14ac:dyDescent="0.3">
      <c r="A8" s="99" t="s">
        <v>1</v>
      </c>
      <c r="B8" s="99"/>
      <c r="C8" s="99"/>
      <c r="D8" s="99"/>
      <c r="E8" s="99"/>
      <c r="F8" s="99"/>
      <c r="G8" s="99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</row>
    <row r="9" spans="1:28" ht="15.75" customHeight="1" x14ac:dyDescent="0.25">
      <c r="A9" s="111" t="s">
        <v>4</v>
      </c>
      <c r="B9" s="113" t="s">
        <v>9</v>
      </c>
      <c r="C9" s="113" t="s">
        <v>10</v>
      </c>
      <c r="D9" s="113" t="s">
        <v>11</v>
      </c>
      <c r="E9" s="113" t="s">
        <v>12</v>
      </c>
      <c r="F9" s="113" t="s">
        <v>13</v>
      </c>
      <c r="G9" s="101" t="s">
        <v>669</v>
      </c>
      <c r="H9" s="103" t="s">
        <v>382</v>
      </c>
      <c r="I9" s="101" t="s">
        <v>669</v>
      </c>
      <c r="J9" s="105" t="s">
        <v>404</v>
      </c>
      <c r="K9" s="107" t="s">
        <v>2</v>
      </c>
      <c r="L9" s="105" t="s">
        <v>449</v>
      </c>
      <c r="M9" s="107" t="s">
        <v>2</v>
      </c>
      <c r="N9" s="105" t="s">
        <v>554</v>
      </c>
      <c r="O9" s="107" t="s">
        <v>2</v>
      </c>
      <c r="P9" s="105" t="s">
        <v>569</v>
      </c>
      <c r="Q9" s="107" t="s">
        <v>2</v>
      </c>
      <c r="R9" s="105" t="s">
        <v>570</v>
      </c>
      <c r="S9" s="107" t="s">
        <v>2</v>
      </c>
      <c r="U9" s="105" t="s">
        <v>627</v>
      </c>
      <c r="V9" s="107" t="s">
        <v>2</v>
      </c>
      <c r="W9" s="105" t="s">
        <v>627</v>
      </c>
      <c r="X9" s="107" t="s">
        <v>2</v>
      </c>
      <c r="Y9" s="105" t="s">
        <v>668</v>
      </c>
      <c r="Z9" s="95" t="s">
        <v>670</v>
      </c>
      <c r="AA9" s="95" t="s">
        <v>671</v>
      </c>
      <c r="AB9" s="97" t="s">
        <v>672</v>
      </c>
    </row>
    <row r="10" spans="1:28" ht="16.5" thickBot="1" x14ac:dyDescent="0.3">
      <c r="A10" s="112"/>
      <c r="B10" s="114"/>
      <c r="C10" s="114"/>
      <c r="D10" s="114"/>
      <c r="E10" s="114"/>
      <c r="F10" s="114"/>
      <c r="G10" s="102"/>
      <c r="H10" s="104"/>
      <c r="I10" s="102"/>
      <c r="J10" s="106"/>
      <c r="K10" s="108"/>
      <c r="L10" s="106"/>
      <c r="M10" s="108"/>
      <c r="N10" s="106"/>
      <c r="O10" s="108"/>
      <c r="P10" s="106"/>
      <c r="Q10" s="108"/>
      <c r="R10" s="106"/>
      <c r="S10" s="108"/>
      <c r="U10" s="106"/>
      <c r="V10" s="108"/>
      <c r="W10" s="106"/>
      <c r="X10" s="108"/>
      <c r="Y10" s="106"/>
      <c r="Z10" s="96"/>
      <c r="AA10" s="96"/>
      <c r="AB10" s="98"/>
    </row>
    <row r="11" spans="1:28" ht="9.75" customHeight="1" x14ac:dyDescent="0.25">
      <c r="A11" s="33">
        <v>1</v>
      </c>
      <c r="B11" s="31">
        <v>2</v>
      </c>
      <c r="C11" s="32">
        <v>3</v>
      </c>
      <c r="D11" s="32">
        <v>4</v>
      </c>
      <c r="E11" s="32">
        <v>5</v>
      </c>
      <c r="F11" s="32">
        <v>6</v>
      </c>
      <c r="G11" s="32">
        <v>7</v>
      </c>
      <c r="I11" s="55">
        <v>7</v>
      </c>
      <c r="K11" s="55">
        <v>7</v>
      </c>
      <c r="M11" s="55">
        <v>7</v>
      </c>
      <c r="O11" s="55">
        <v>7</v>
      </c>
      <c r="P11" s="30"/>
      <c r="Q11" s="55">
        <v>7</v>
      </c>
      <c r="S11" s="55">
        <v>7</v>
      </c>
      <c r="V11" s="55">
        <v>7</v>
      </c>
      <c r="X11" s="55">
        <v>7</v>
      </c>
      <c r="Z11" s="55">
        <v>8</v>
      </c>
      <c r="AA11" s="55">
        <v>9</v>
      </c>
      <c r="AB11" s="55">
        <v>10</v>
      </c>
    </row>
    <row r="12" spans="1:28" x14ac:dyDescent="0.25">
      <c r="A12" s="37" t="s">
        <v>214</v>
      </c>
      <c r="B12" s="35" t="s">
        <v>6</v>
      </c>
      <c r="C12" s="35"/>
      <c r="D12" s="35"/>
      <c r="E12" s="35"/>
      <c r="F12" s="35"/>
      <c r="G12" s="36">
        <f>G13+G60+G69+G73+G88+G110+G135+G143+G156</f>
        <v>79109.64</v>
      </c>
      <c r="I12" s="48">
        <f>I13+I60+I69+I73+I88+I110+I135+I143+I156</f>
        <v>80671.239999999991</v>
      </c>
      <c r="K12" s="48">
        <f>K13+K60+K69+K73+K88+K110+K135+K143+K156</f>
        <v>84972.51</v>
      </c>
      <c r="M12" s="48">
        <f>M13+M60+M69+M73+M88+M110+M135+M143+M156</f>
        <v>82606.580000000016</v>
      </c>
      <c r="O12" s="48">
        <f>O13+O60+O69+O73+O88+O110+O135+O143+O156</f>
        <v>88851.62000000001</v>
      </c>
      <c r="P12" s="30"/>
      <c r="Q12" s="48">
        <f>Q13+Q60+Q69+Q73+Q88+Q110+Q135+Q143+Q156</f>
        <v>90651.62000000001</v>
      </c>
      <c r="S12" s="48">
        <f>S13+S60+S69+S73+S88+S110+S135+S143+S156</f>
        <v>93726.090000000011</v>
      </c>
      <c r="V12" s="48">
        <f>V13+V60+V69+V73+V88+V110+V135+V143+V156</f>
        <v>93726.090000000011</v>
      </c>
      <c r="X12" s="48">
        <f>X13+X60+X69+X73+X88+X110+X135+X143+X156</f>
        <v>94531.970000000016</v>
      </c>
      <c r="Z12" s="48">
        <f>Z13+Z60+Z69+Z73+Z88+Z110+Z135+Z143+Z156</f>
        <v>96238.080000000002</v>
      </c>
      <c r="AA12" s="48">
        <f>AA13+AA60+AA69+AA73+AA88+AA110+AA135+AA143+AA156</f>
        <v>85008.59</v>
      </c>
      <c r="AB12" s="87">
        <f>AA12/Z12</f>
        <v>0.88331552333546137</v>
      </c>
    </row>
    <row r="13" spans="1:28" x14ac:dyDescent="0.25">
      <c r="A13" s="38" t="s">
        <v>14</v>
      </c>
      <c r="B13" s="35"/>
      <c r="C13" s="35" t="s">
        <v>15</v>
      </c>
      <c r="D13" s="35"/>
      <c r="E13" s="35"/>
      <c r="F13" s="35"/>
      <c r="G13" s="36">
        <f>G14+G34+G37</f>
        <v>63831.430000000008</v>
      </c>
      <c r="I13" s="48">
        <f>I14+I34+I37</f>
        <v>64885.229999999996</v>
      </c>
      <c r="K13" s="48">
        <f>K14+K34+K37</f>
        <v>63114.19</v>
      </c>
      <c r="M13" s="48">
        <f>M14+M34+M37+M31</f>
        <v>59762.100000000006</v>
      </c>
      <c r="O13" s="48">
        <f>O14+O34+O37+O31</f>
        <v>60078.94</v>
      </c>
      <c r="P13" s="30"/>
      <c r="Q13" s="48">
        <f>Q14+Q34+Q37+Q31</f>
        <v>60078.94</v>
      </c>
      <c r="S13" s="48">
        <f>S14+S34+S37+S31</f>
        <v>60221.440000000002</v>
      </c>
      <c r="V13" s="48">
        <f>V14+V34+V37+V31</f>
        <v>60221.440000000002</v>
      </c>
      <c r="X13" s="48">
        <f>X14+X34+X37+X31</f>
        <v>60556.950000000004</v>
      </c>
      <c r="Z13" s="48">
        <f>Z14+Z34+Z37+Z31</f>
        <v>60575.450000000004</v>
      </c>
      <c r="AA13" s="48">
        <f>AA14+AA34+AA37+AA31</f>
        <v>58930.380000000005</v>
      </c>
      <c r="AB13" s="87">
        <f t="shared" ref="AB13:AB76" si="0">AA13/Z13</f>
        <v>0.97284262849058489</v>
      </c>
    </row>
    <row r="14" spans="1:28" ht="30" customHeight="1" x14ac:dyDescent="0.25">
      <c r="A14" s="39" t="s">
        <v>210</v>
      </c>
      <c r="B14" s="35"/>
      <c r="C14" s="35" t="s">
        <v>15</v>
      </c>
      <c r="D14" s="35" t="s">
        <v>24</v>
      </c>
      <c r="E14" s="35"/>
      <c r="F14" s="35"/>
      <c r="G14" s="36">
        <f>G15+G27</f>
        <v>35289.700000000004</v>
      </c>
      <c r="I14" s="48">
        <f>I15+I27</f>
        <v>36343.5</v>
      </c>
      <c r="K14" s="48">
        <f>K15+K27</f>
        <v>36480.5</v>
      </c>
      <c r="M14" s="48">
        <f>M15+M27</f>
        <v>36481.100000000006</v>
      </c>
      <c r="O14" s="48">
        <f>O15+O27</f>
        <v>36191.4</v>
      </c>
      <c r="P14" s="30"/>
      <c r="Q14" s="48">
        <f>Q15+Q27</f>
        <v>36191.4</v>
      </c>
      <c r="S14" s="48">
        <f>S15+S27</f>
        <v>36333.9</v>
      </c>
      <c r="V14" s="48">
        <f>V15+V27</f>
        <v>36333.9</v>
      </c>
      <c r="X14" s="48">
        <f>X15+X27</f>
        <v>36333.900000000009</v>
      </c>
      <c r="Z14" s="48">
        <f>Z15+Z27</f>
        <v>36333.900000000009</v>
      </c>
      <c r="AA14" s="48">
        <f>AA15+AA27</f>
        <v>35441.86</v>
      </c>
      <c r="AB14" s="87">
        <f t="shared" si="0"/>
        <v>0.97544882327523308</v>
      </c>
    </row>
    <row r="15" spans="1:28" ht="30.75" customHeight="1" x14ac:dyDescent="0.25">
      <c r="A15" s="19" t="s">
        <v>211</v>
      </c>
      <c r="B15" s="40"/>
      <c r="C15" s="40" t="s">
        <v>15</v>
      </c>
      <c r="D15" s="40" t="s">
        <v>24</v>
      </c>
      <c r="E15" s="40" t="s">
        <v>21</v>
      </c>
      <c r="F15" s="40"/>
      <c r="G15" s="29">
        <f>G16</f>
        <v>33565.200000000004</v>
      </c>
      <c r="I15" s="47">
        <f>I16</f>
        <v>34619</v>
      </c>
      <c r="K15" s="47">
        <f>K16</f>
        <v>34756</v>
      </c>
      <c r="M15" s="47">
        <f>M16</f>
        <v>34755.700000000004</v>
      </c>
      <c r="O15" s="47">
        <f>O16</f>
        <v>34466</v>
      </c>
      <c r="P15" s="30"/>
      <c r="Q15" s="47">
        <f>Q16</f>
        <v>34466</v>
      </c>
      <c r="S15" s="47">
        <f>S16+S24</f>
        <v>34608.5</v>
      </c>
      <c r="V15" s="47">
        <f>V16+V24</f>
        <v>34608.5</v>
      </c>
      <c r="X15" s="47">
        <f>X16+X24</f>
        <v>34608.500000000007</v>
      </c>
      <c r="Z15" s="47">
        <f>Z16+Z24</f>
        <v>34608.500000000007</v>
      </c>
      <c r="AA15" s="47">
        <f>AA16+AA24</f>
        <v>33927.24</v>
      </c>
      <c r="AB15" s="85">
        <f t="shared" si="0"/>
        <v>0.98031524047560548</v>
      </c>
    </row>
    <row r="16" spans="1:28" x14ac:dyDescent="0.25">
      <c r="A16" s="41" t="s">
        <v>22</v>
      </c>
      <c r="B16" s="40"/>
      <c r="C16" s="40" t="s">
        <v>15</v>
      </c>
      <c r="D16" s="40" t="s">
        <v>24</v>
      </c>
      <c r="E16" s="40" t="s">
        <v>23</v>
      </c>
      <c r="F16" s="40"/>
      <c r="G16" s="29">
        <f>G17+G20</f>
        <v>33565.200000000004</v>
      </c>
      <c r="I16" s="47">
        <f>I17+I20</f>
        <v>34619</v>
      </c>
      <c r="K16" s="47">
        <f>K17+K20+K23</f>
        <v>34756</v>
      </c>
      <c r="M16" s="47">
        <f>M17+M20+M23</f>
        <v>34755.700000000004</v>
      </c>
      <c r="O16" s="47">
        <f>O17+O20+O23</f>
        <v>34466</v>
      </c>
      <c r="P16" s="30"/>
      <c r="Q16" s="47">
        <f>Q17+Q20+Q23</f>
        <v>34466</v>
      </c>
      <c r="S16" s="47">
        <f>S17+S20+S23</f>
        <v>34466</v>
      </c>
      <c r="V16" s="47">
        <f>V17+V20+V23</f>
        <v>34466</v>
      </c>
      <c r="X16" s="47">
        <f>X17+X20+X23</f>
        <v>34466.000000000007</v>
      </c>
      <c r="Z16" s="47">
        <f>Z17+Z20+Z23</f>
        <v>34466.000000000007</v>
      </c>
      <c r="AA16" s="47">
        <f>AA17+AA20+AA23</f>
        <v>33927.24</v>
      </c>
      <c r="AB16" s="85">
        <f t="shared" si="0"/>
        <v>0.98436836302442965</v>
      </c>
    </row>
    <row r="17" spans="1:28" x14ac:dyDescent="0.25">
      <c r="A17" s="19" t="s">
        <v>215</v>
      </c>
      <c r="B17" s="40"/>
      <c r="C17" s="40" t="s">
        <v>15</v>
      </c>
      <c r="D17" s="40" t="s">
        <v>24</v>
      </c>
      <c r="E17" s="40" t="s">
        <v>23</v>
      </c>
      <c r="F17" s="40" t="s">
        <v>216</v>
      </c>
      <c r="G17" s="29">
        <f>G18+G19</f>
        <v>29693.4</v>
      </c>
      <c r="I17" s="47">
        <f>I18+I19</f>
        <v>30747.200000000001</v>
      </c>
      <c r="K17" s="47">
        <f>K18+K19</f>
        <v>30747.200000000001</v>
      </c>
      <c r="M17" s="47">
        <f>M18+M19</f>
        <v>30210.9</v>
      </c>
      <c r="O17" s="47">
        <f>O18+O19</f>
        <v>30210.9</v>
      </c>
      <c r="P17" s="30"/>
      <c r="Q17" s="47">
        <f>Q18+Q19</f>
        <v>30210.9</v>
      </c>
      <c r="S17" s="47">
        <f>S18+S19</f>
        <v>30210.9</v>
      </c>
      <c r="V17" s="47">
        <f>V18+V19</f>
        <v>30210.9</v>
      </c>
      <c r="X17" s="47">
        <f>X18+X19</f>
        <v>30225.9</v>
      </c>
      <c r="Z17" s="47">
        <f>Z18+Z19</f>
        <v>30225.9</v>
      </c>
      <c r="AA17" s="47">
        <f>AA18+AA19</f>
        <v>29844.94</v>
      </c>
      <c r="AB17" s="85">
        <f t="shared" si="0"/>
        <v>0.98739623964877798</v>
      </c>
    </row>
    <row r="18" spans="1:28" x14ac:dyDescent="0.25">
      <c r="A18" s="19" t="s">
        <v>217</v>
      </c>
      <c r="B18" s="40"/>
      <c r="C18" s="40" t="s">
        <v>15</v>
      </c>
      <c r="D18" s="40" t="s">
        <v>24</v>
      </c>
      <c r="E18" s="40" t="s">
        <v>23</v>
      </c>
      <c r="F18" s="40" t="s">
        <v>218</v>
      </c>
      <c r="G18" s="29">
        <f>23943.4+5700</f>
        <v>29643.4</v>
      </c>
      <c r="H18" s="52">
        <f>-622.2+1676</f>
        <v>1053.8</v>
      </c>
      <c r="I18" s="47">
        <f>G18+H18</f>
        <v>30697.200000000001</v>
      </c>
      <c r="K18" s="47">
        <f>I18+J18</f>
        <v>30697.200000000001</v>
      </c>
      <c r="L18" s="30">
        <v>-536.29999999999995</v>
      </c>
      <c r="M18" s="47">
        <f>K18+L18</f>
        <v>30160.9</v>
      </c>
      <c r="O18" s="47">
        <f>M18+N18</f>
        <v>30160.9</v>
      </c>
      <c r="P18" s="30"/>
      <c r="Q18" s="47">
        <f>O18+P18</f>
        <v>30160.9</v>
      </c>
      <c r="S18" s="47">
        <f>Q18+R18</f>
        <v>30160.9</v>
      </c>
      <c r="V18" s="47">
        <f>S18+U18</f>
        <v>30160.9</v>
      </c>
      <c r="X18" s="47">
        <f>V18+W18</f>
        <v>30160.9</v>
      </c>
      <c r="Z18" s="47">
        <f>X18+Y18</f>
        <v>30160.9</v>
      </c>
      <c r="AA18" s="86">
        <v>29797.64</v>
      </c>
      <c r="AB18" s="85">
        <f t="shared" si="0"/>
        <v>0.98795592969705803</v>
      </c>
    </row>
    <row r="19" spans="1:28" ht="15" customHeight="1" x14ac:dyDescent="0.25">
      <c r="A19" s="19" t="s">
        <v>219</v>
      </c>
      <c r="B19" s="40"/>
      <c r="C19" s="40" t="s">
        <v>15</v>
      </c>
      <c r="D19" s="40" t="s">
        <v>24</v>
      </c>
      <c r="E19" s="40" t="s">
        <v>23</v>
      </c>
      <c r="F19" s="40" t="s">
        <v>220</v>
      </c>
      <c r="G19" s="29">
        <v>50</v>
      </c>
      <c r="I19" s="47">
        <f>G19+H19</f>
        <v>50</v>
      </c>
      <c r="K19" s="47">
        <f>I19+J19</f>
        <v>50</v>
      </c>
      <c r="M19" s="47">
        <f>K19+L19</f>
        <v>50</v>
      </c>
      <c r="O19" s="47">
        <f>M19+N19</f>
        <v>50</v>
      </c>
      <c r="P19" s="30"/>
      <c r="Q19" s="47">
        <f>O19+P19</f>
        <v>50</v>
      </c>
      <c r="S19" s="47">
        <f>Q19+R19</f>
        <v>50</v>
      </c>
      <c r="V19" s="47">
        <f>S19+U19</f>
        <v>50</v>
      </c>
      <c r="W19" s="30">
        <v>15</v>
      </c>
      <c r="X19" s="47">
        <f>V19+W19</f>
        <v>65</v>
      </c>
      <c r="Z19" s="47">
        <f>X19+Y19</f>
        <v>65</v>
      </c>
      <c r="AA19" s="86">
        <v>47.3</v>
      </c>
      <c r="AB19" s="85">
        <f t="shared" si="0"/>
        <v>0.72769230769230764</v>
      </c>
    </row>
    <row r="20" spans="1:28" ht="15.75" customHeight="1" x14ac:dyDescent="0.25">
      <c r="A20" s="19" t="s">
        <v>221</v>
      </c>
      <c r="B20" s="40"/>
      <c r="C20" s="40" t="s">
        <v>15</v>
      </c>
      <c r="D20" s="40" t="s">
        <v>24</v>
      </c>
      <c r="E20" s="40" t="s">
        <v>23</v>
      </c>
      <c r="F20" s="40" t="s">
        <v>222</v>
      </c>
      <c r="G20" s="29">
        <f>G21+G22</f>
        <v>3871.8</v>
      </c>
      <c r="I20" s="47">
        <f>I21+I22</f>
        <v>3871.8</v>
      </c>
      <c r="K20" s="47">
        <f>K21+K22</f>
        <v>3999.8</v>
      </c>
      <c r="M20" s="47">
        <f>M21+M22</f>
        <v>4535.8</v>
      </c>
      <c r="O20" s="47">
        <f>O21+O22</f>
        <v>4246.1000000000004</v>
      </c>
      <c r="P20" s="30"/>
      <c r="Q20" s="47">
        <f>Q21+Q22</f>
        <v>4246.1000000000004</v>
      </c>
      <c r="S20" s="47">
        <f>S21+S22</f>
        <v>4246.1000000000004</v>
      </c>
      <c r="V20" s="47">
        <f>V21+V22</f>
        <v>4246.1000000000004</v>
      </c>
      <c r="X20" s="47">
        <f>X21+X22</f>
        <v>4131.55</v>
      </c>
      <c r="Z20" s="47">
        <f>Z21+Z22</f>
        <v>4131.55</v>
      </c>
      <c r="AA20" s="47">
        <f>AA21+AA22</f>
        <v>3984.34</v>
      </c>
      <c r="AB20" s="85">
        <f t="shared" si="0"/>
        <v>0.96436930449831182</v>
      </c>
    </row>
    <row r="21" spans="1:28" ht="13.5" customHeight="1" x14ac:dyDescent="0.25">
      <c r="A21" s="19" t="s">
        <v>223</v>
      </c>
      <c r="B21" s="40"/>
      <c r="C21" s="40" t="s">
        <v>15</v>
      </c>
      <c r="D21" s="40" t="s">
        <v>24</v>
      </c>
      <c r="E21" s="40" t="s">
        <v>23</v>
      </c>
      <c r="F21" s="40" t="s">
        <v>224</v>
      </c>
      <c r="G21" s="29">
        <v>1177</v>
      </c>
      <c r="I21" s="47">
        <f t="shared" ref="I21:K23" si="1">G21+H21</f>
        <v>1177</v>
      </c>
      <c r="J21" s="28">
        <f>99+38</f>
        <v>137</v>
      </c>
      <c r="K21" s="47">
        <f t="shared" si="1"/>
        <v>1314</v>
      </c>
      <c r="L21" s="30">
        <v>159</v>
      </c>
      <c r="M21" s="47">
        <f t="shared" ref="M21:M23" si="2">K21+L21</f>
        <v>1473</v>
      </c>
      <c r="N21" s="30">
        <f>-198-61.7</f>
        <v>-259.7</v>
      </c>
      <c r="O21" s="47">
        <f t="shared" ref="O21:O23" si="3">M21+N21</f>
        <v>1213.3</v>
      </c>
      <c r="P21" s="30"/>
      <c r="Q21" s="47">
        <f t="shared" ref="Q21:Q23" si="4">O21+P21</f>
        <v>1213.3</v>
      </c>
      <c r="S21" s="47">
        <f t="shared" ref="S21:S23" si="5">Q21+R21</f>
        <v>1213.3</v>
      </c>
      <c r="V21" s="47">
        <f>S21+U21</f>
        <v>1213.3</v>
      </c>
      <c r="W21" s="30">
        <v>159.19999999999999</v>
      </c>
      <c r="X21" s="47">
        <f>V21+W21</f>
        <v>1372.5</v>
      </c>
      <c r="Z21" s="47">
        <f>X21+Y21</f>
        <v>1372.5</v>
      </c>
      <c r="AA21" s="86">
        <v>1356.15</v>
      </c>
      <c r="AB21" s="85">
        <f t="shared" si="0"/>
        <v>0.98808743169398916</v>
      </c>
    </row>
    <row r="22" spans="1:28" ht="15" customHeight="1" x14ac:dyDescent="0.25">
      <c r="A22" s="19" t="s">
        <v>244</v>
      </c>
      <c r="B22" s="40"/>
      <c r="C22" s="40" t="s">
        <v>15</v>
      </c>
      <c r="D22" s="40" t="s">
        <v>24</v>
      </c>
      <c r="E22" s="40" t="s">
        <v>23</v>
      </c>
      <c r="F22" s="40" t="s">
        <v>225</v>
      </c>
      <c r="G22" s="29">
        <v>2694.8</v>
      </c>
      <c r="I22" s="47">
        <f t="shared" si="1"/>
        <v>2694.8</v>
      </c>
      <c r="J22" s="28">
        <v>-9</v>
      </c>
      <c r="K22" s="47">
        <f t="shared" si="1"/>
        <v>2685.8</v>
      </c>
      <c r="L22" s="30">
        <f>476.5-99.5</f>
        <v>377</v>
      </c>
      <c r="M22" s="47">
        <f t="shared" si="2"/>
        <v>3062.8</v>
      </c>
      <c r="N22" s="30">
        <v>-30</v>
      </c>
      <c r="O22" s="47">
        <f t="shared" si="3"/>
        <v>3032.8</v>
      </c>
      <c r="P22" s="30"/>
      <c r="Q22" s="47">
        <f t="shared" si="4"/>
        <v>3032.8</v>
      </c>
      <c r="S22" s="47">
        <f t="shared" si="5"/>
        <v>3032.8</v>
      </c>
      <c r="V22" s="47">
        <f>S22+U22</f>
        <v>3032.8</v>
      </c>
      <c r="W22" s="30">
        <v>-273.75</v>
      </c>
      <c r="X22" s="47">
        <f>V22+W22</f>
        <v>2759.05</v>
      </c>
      <c r="Z22" s="47">
        <f>X22+Y22</f>
        <v>2759.05</v>
      </c>
      <c r="AA22" s="86">
        <v>2628.19</v>
      </c>
      <c r="AB22" s="85">
        <f t="shared" si="0"/>
        <v>0.9525706311955201</v>
      </c>
    </row>
    <row r="23" spans="1:28" ht="15" customHeight="1" x14ac:dyDescent="0.25">
      <c r="A23" s="19" t="s">
        <v>324</v>
      </c>
      <c r="B23" s="40"/>
      <c r="C23" s="40" t="s">
        <v>15</v>
      </c>
      <c r="D23" s="40" t="s">
        <v>24</v>
      </c>
      <c r="E23" s="40" t="s">
        <v>23</v>
      </c>
      <c r="F23" s="40" t="s">
        <v>323</v>
      </c>
      <c r="G23" s="29"/>
      <c r="I23" s="47"/>
      <c r="J23" s="28">
        <v>9</v>
      </c>
      <c r="K23" s="47">
        <f t="shared" si="1"/>
        <v>9</v>
      </c>
      <c r="M23" s="47">
        <f t="shared" si="2"/>
        <v>9</v>
      </c>
      <c r="O23" s="47">
        <f t="shared" si="3"/>
        <v>9</v>
      </c>
      <c r="P23" s="30"/>
      <c r="Q23" s="47">
        <f t="shared" si="4"/>
        <v>9</v>
      </c>
      <c r="S23" s="47">
        <f t="shared" si="5"/>
        <v>9</v>
      </c>
      <c r="V23" s="47">
        <f>S23+U23</f>
        <v>9</v>
      </c>
      <c r="W23" s="30">
        <v>99.55</v>
      </c>
      <c r="X23" s="47">
        <f>V23+W23</f>
        <v>108.55</v>
      </c>
      <c r="Z23" s="47">
        <f>X23+Y23</f>
        <v>108.55</v>
      </c>
      <c r="AA23" s="86">
        <v>97.96</v>
      </c>
      <c r="AB23" s="85">
        <f t="shared" si="0"/>
        <v>0.90244127130354668</v>
      </c>
    </row>
    <row r="24" spans="1:28" ht="15" customHeight="1" x14ac:dyDescent="0.25">
      <c r="A24" s="19" t="s">
        <v>571</v>
      </c>
      <c r="B24" s="40"/>
      <c r="C24" s="40" t="s">
        <v>15</v>
      </c>
      <c r="D24" s="40" t="s">
        <v>24</v>
      </c>
      <c r="E24" s="40" t="s">
        <v>572</v>
      </c>
      <c r="F24" s="40"/>
      <c r="G24" s="29"/>
      <c r="I24" s="47"/>
      <c r="K24" s="47"/>
      <c r="M24" s="47"/>
      <c r="O24" s="47"/>
      <c r="P24" s="30"/>
      <c r="Q24" s="47"/>
      <c r="S24" s="47">
        <f>S25</f>
        <v>142.5</v>
      </c>
      <c r="V24" s="47">
        <f>V25</f>
        <v>142.5</v>
      </c>
      <c r="X24" s="47">
        <f>X25</f>
        <v>142.5</v>
      </c>
      <c r="Z24" s="47">
        <f>Z25</f>
        <v>142.5</v>
      </c>
      <c r="AA24" s="47">
        <f>AA25</f>
        <v>0</v>
      </c>
      <c r="AB24" s="85">
        <f t="shared" si="0"/>
        <v>0</v>
      </c>
    </row>
    <row r="25" spans="1:28" ht="15" customHeight="1" x14ac:dyDescent="0.25">
      <c r="A25" s="19" t="s">
        <v>215</v>
      </c>
      <c r="B25" s="40"/>
      <c r="C25" s="40" t="s">
        <v>15</v>
      </c>
      <c r="D25" s="40" t="s">
        <v>24</v>
      </c>
      <c r="E25" s="40" t="s">
        <v>572</v>
      </c>
      <c r="F25" s="40" t="s">
        <v>216</v>
      </c>
      <c r="G25" s="29"/>
      <c r="I25" s="47"/>
      <c r="K25" s="47"/>
      <c r="M25" s="47"/>
      <c r="O25" s="47"/>
      <c r="P25" s="30"/>
      <c r="Q25" s="47"/>
      <c r="S25" s="47">
        <f>S26</f>
        <v>142.5</v>
      </c>
      <c r="V25" s="47">
        <f>V26</f>
        <v>142.5</v>
      </c>
      <c r="X25" s="47">
        <f>X26</f>
        <v>142.5</v>
      </c>
      <c r="Z25" s="47">
        <f>Z26</f>
        <v>142.5</v>
      </c>
      <c r="AA25" s="47">
        <f>AA26</f>
        <v>0</v>
      </c>
      <c r="AB25" s="85">
        <f t="shared" si="0"/>
        <v>0</v>
      </c>
    </row>
    <row r="26" spans="1:28" ht="15" customHeight="1" x14ac:dyDescent="0.25">
      <c r="A26" s="19" t="s">
        <v>217</v>
      </c>
      <c r="B26" s="40"/>
      <c r="C26" s="40" t="s">
        <v>15</v>
      </c>
      <c r="D26" s="40" t="s">
        <v>24</v>
      </c>
      <c r="E26" s="40" t="s">
        <v>572</v>
      </c>
      <c r="F26" s="40" t="s">
        <v>218</v>
      </c>
      <c r="G26" s="29"/>
      <c r="I26" s="47"/>
      <c r="K26" s="47"/>
      <c r="M26" s="47"/>
      <c r="O26" s="47"/>
      <c r="P26" s="30"/>
      <c r="Q26" s="47"/>
      <c r="R26" s="30">
        <v>142.5</v>
      </c>
      <c r="S26" s="47">
        <f t="shared" ref="S26" si="6">Q26+R26</f>
        <v>142.5</v>
      </c>
      <c r="V26" s="47">
        <f>S26+U26</f>
        <v>142.5</v>
      </c>
      <c r="X26" s="47">
        <f>V26+W26</f>
        <v>142.5</v>
      </c>
      <c r="Z26" s="47">
        <f>X26+Y26</f>
        <v>142.5</v>
      </c>
      <c r="AA26" s="86">
        <v>0</v>
      </c>
      <c r="AB26" s="85">
        <f t="shared" si="0"/>
        <v>0</v>
      </c>
    </row>
    <row r="27" spans="1:28" ht="27.75" customHeight="1" x14ac:dyDescent="0.25">
      <c r="A27" s="19" t="s">
        <v>164</v>
      </c>
      <c r="B27" s="40"/>
      <c r="C27" s="40" t="s">
        <v>15</v>
      </c>
      <c r="D27" s="40" t="s">
        <v>24</v>
      </c>
      <c r="E27" s="40" t="s">
        <v>165</v>
      </c>
      <c r="F27" s="40"/>
      <c r="G27" s="29">
        <f>G28</f>
        <v>1724.5</v>
      </c>
      <c r="I27" s="47">
        <f>I28</f>
        <v>1724.5</v>
      </c>
      <c r="K27" s="47">
        <f>K28</f>
        <v>1724.5</v>
      </c>
      <c r="M27" s="47">
        <f>M28</f>
        <v>1725.4</v>
      </c>
      <c r="O27" s="47">
        <f>O28</f>
        <v>1725.4</v>
      </c>
      <c r="P27" s="30"/>
      <c r="Q27" s="47">
        <f>Q28</f>
        <v>1725.4</v>
      </c>
      <c r="S27" s="47">
        <f>S28</f>
        <v>1725.4</v>
      </c>
      <c r="V27" s="47">
        <f>V28</f>
        <v>1725.4</v>
      </c>
      <c r="X27" s="47">
        <f>X28</f>
        <v>1725.4</v>
      </c>
      <c r="Z27" s="47">
        <f>Z28</f>
        <v>1725.4</v>
      </c>
      <c r="AA27" s="47">
        <f>AA28</f>
        <v>1514.62</v>
      </c>
      <c r="AB27" s="85">
        <f t="shared" si="0"/>
        <v>0.87783702329894508</v>
      </c>
    </row>
    <row r="28" spans="1:28" x14ac:dyDescent="0.25">
      <c r="A28" s="19" t="s">
        <v>215</v>
      </c>
      <c r="B28" s="40"/>
      <c r="C28" s="40" t="s">
        <v>15</v>
      </c>
      <c r="D28" s="40" t="s">
        <v>24</v>
      </c>
      <c r="E28" s="40" t="s">
        <v>165</v>
      </c>
      <c r="F28" s="40" t="s">
        <v>216</v>
      </c>
      <c r="G28" s="29">
        <f>G29+G30</f>
        <v>1724.5</v>
      </c>
      <c r="I28" s="47">
        <f>I29+I30</f>
        <v>1724.5</v>
      </c>
      <c r="K28" s="47">
        <f>K29+K30</f>
        <v>1724.5</v>
      </c>
      <c r="M28" s="47">
        <f>M29+M30</f>
        <v>1725.4</v>
      </c>
      <c r="O28" s="47">
        <f>O29+O30</f>
        <v>1725.4</v>
      </c>
      <c r="P28" s="30"/>
      <c r="Q28" s="47">
        <f>Q29+Q30</f>
        <v>1725.4</v>
      </c>
      <c r="S28" s="47">
        <f>S29+S30</f>
        <v>1725.4</v>
      </c>
      <c r="V28" s="47">
        <f>V29+V30</f>
        <v>1725.4</v>
      </c>
      <c r="X28" s="47">
        <f>X29+X30</f>
        <v>1725.4</v>
      </c>
      <c r="Z28" s="47">
        <f>Z29+Z30</f>
        <v>1725.4</v>
      </c>
      <c r="AA28" s="47">
        <f>AA29+AA30</f>
        <v>1514.62</v>
      </c>
      <c r="AB28" s="85">
        <f t="shared" si="0"/>
        <v>0.87783702329894508</v>
      </c>
    </row>
    <row r="29" spans="1:28" ht="15.75" customHeight="1" x14ac:dyDescent="0.25">
      <c r="A29" s="19" t="s">
        <v>217</v>
      </c>
      <c r="B29" s="40"/>
      <c r="C29" s="40" t="s">
        <v>15</v>
      </c>
      <c r="D29" s="40" t="s">
        <v>24</v>
      </c>
      <c r="E29" s="40" t="s">
        <v>165</v>
      </c>
      <c r="F29" s="40" t="s">
        <v>218</v>
      </c>
      <c r="G29" s="29">
        <f>1564+160.5</f>
        <v>1724.5</v>
      </c>
      <c r="I29" s="47">
        <f t="shared" ref="I29:K29" si="7">G29+H29</f>
        <v>1724.5</v>
      </c>
      <c r="K29" s="47">
        <f t="shared" si="7"/>
        <v>1724.5</v>
      </c>
      <c r="L29" s="30">
        <v>0.9</v>
      </c>
      <c r="M29" s="47">
        <f t="shared" ref="M29" si="8">K29+L29</f>
        <v>1725.4</v>
      </c>
      <c r="O29" s="47">
        <f t="shared" ref="O29" si="9">M29+N29</f>
        <v>1725.4</v>
      </c>
      <c r="P29" s="30"/>
      <c r="Q29" s="47">
        <f t="shared" ref="Q29" si="10">O29+P29</f>
        <v>1725.4</v>
      </c>
      <c r="S29" s="47">
        <f t="shared" ref="S29" si="11">Q29+R29</f>
        <v>1725.4</v>
      </c>
      <c r="V29" s="47">
        <f>S29+U29</f>
        <v>1725.4</v>
      </c>
      <c r="X29" s="47">
        <f>V29+W29</f>
        <v>1725.4</v>
      </c>
      <c r="Z29" s="47">
        <f>X29+Y29</f>
        <v>1725.4</v>
      </c>
      <c r="AA29" s="86">
        <v>1514.62</v>
      </c>
      <c r="AB29" s="85">
        <f>AA29/Z29</f>
        <v>0.87783702329894508</v>
      </c>
    </row>
    <row r="30" spans="1:28" ht="15.75" customHeight="1" x14ac:dyDescent="0.25">
      <c r="A30" s="19" t="s">
        <v>219</v>
      </c>
      <c r="B30" s="40"/>
      <c r="C30" s="40" t="s">
        <v>15</v>
      </c>
      <c r="D30" s="40" t="s">
        <v>24</v>
      </c>
      <c r="E30" s="40" t="s">
        <v>165</v>
      </c>
      <c r="F30" s="40" t="s">
        <v>220</v>
      </c>
      <c r="G30" s="29">
        <v>0</v>
      </c>
      <c r="I30" s="47">
        <v>0</v>
      </c>
      <c r="K30" s="47">
        <v>0</v>
      </c>
      <c r="M30" s="47">
        <v>0</v>
      </c>
      <c r="O30" s="47">
        <v>0</v>
      </c>
      <c r="P30" s="30"/>
      <c r="Q30" s="47">
        <v>0</v>
      </c>
      <c r="S30" s="47">
        <v>0</v>
      </c>
      <c r="V30" s="47">
        <v>0</v>
      </c>
      <c r="X30" s="47">
        <v>0</v>
      </c>
      <c r="Z30" s="47">
        <v>0</v>
      </c>
      <c r="AA30" s="86"/>
      <c r="AB30" s="85">
        <v>0</v>
      </c>
    </row>
    <row r="31" spans="1:28" ht="15.75" customHeight="1" x14ac:dyDescent="0.25">
      <c r="A31" s="42" t="s">
        <v>450</v>
      </c>
      <c r="B31" s="40"/>
      <c r="C31" s="35" t="s">
        <v>15</v>
      </c>
      <c r="D31" s="35" t="s">
        <v>46</v>
      </c>
      <c r="E31" s="35"/>
      <c r="F31" s="35"/>
      <c r="G31" s="36"/>
      <c r="H31" s="56"/>
      <c r="I31" s="48"/>
      <c r="J31" s="57"/>
      <c r="K31" s="48"/>
      <c r="L31" s="66"/>
      <c r="M31" s="48">
        <f>M32</f>
        <v>13.31</v>
      </c>
      <c r="N31" s="66"/>
      <c r="O31" s="48">
        <f>O32</f>
        <v>13.31</v>
      </c>
      <c r="P31" s="66"/>
      <c r="Q31" s="48">
        <f>Q32</f>
        <v>13.31</v>
      </c>
      <c r="R31" s="66"/>
      <c r="S31" s="48">
        <f>S32</f>
        <v>13.31</v>
      </c>
      <c r="U31" s="66"/>
      <c r="V31" s="48">
        <f>V32</f>
        <v>13.31</v>
      </c>
      <c r="W31" s="66"/>
      <c r="X31" s="48">
        <f>X32</f>
        <v>13.31</v>
      </c>
      <c r="Y31" s="66"/>
      <c r="Z31" s="48">
        <f>Z32</f>
        <v>13.31</v>
      </c>
      <c r="AA31" s="48">
        <f>AA32</f>
        <v>0</v>
      </c>
      <c r="AB31" s="87">
        <f t="shared" si="0"/>
        <v>0</v>
      </c>
    </row>
    <row r="32" spans="1:28" ht="28.5" customHeight="1" x14ac:dyDescent="0.25">
      <c r="A32" s="19" t="s">
        <v>452</v>
      </c>
      <c r="B32" s="40"/>
      <c r="C32" s="40" t="s">
        <v>15</v>
      </c>
      <c r="D32" s="40" t="s">
        <v>46</v>
      </c>
      <c r="E32" s="40" t="s">
        <v>451</v>
      </c>
      <c r="F32" s="40"/>
      <c r="G32" s="29"/>
      <c r="I32" s="47"/>
      <c r="K32" s="47"/>
      <c r="M32" s="47">
        <f>M33</f>
        <v>13.31</v>
      </c>
      <c r="O32" s="47">
        <f>O33</f>
        <v>13.31</v>
      </c>
      <c r="P32" s="30"/>
      <c r="Q32" s="47">
        <f>Q33</f>
        <v>13.31</v>
      </c>
      <c r="S32" s="47">
        <f>S33</f>
        <v>13.31</v>
      </c>
      <c r="V32" s="47">
        <f>V33</f>
        <v>13.31</v>
      </c>
      <c r="X32" s="47">
        <f>X33</f>
        <v>13.31</v>
      </c>
      <c r="Z32" s="47">
        <f>Z33</f>
        <v>13.31</v>
      </c>
      <c r="AA32" s="47">
        <f>AA33</f>
        <v>0</v>
      </c>
      <c r="AB32" s="85">
        <f t="shared" si="0"/>
        <v>0</v>
      </c>
    </row>
    <row r="33" spans="1:28" ht="15.75" customHeight="1" x14ac:dyDescent="0.25">
      <c r="A33" s="19" t="s">
        <v>244</v>
      </c>
      <c r="B33" s="40"/>
      <c r="C33" s="40" t="s">
        <v>15</v>
      </c>
      <c r="D33" s="40" t="s">
        <v>46</v>
      </c>
      <c r="E33" s="40" t="s">
        <v>451</v>
      </c>
      <c r="F33" s="40" t="s">
        <v>225</v>
      </c>
      <c r="G33" s="29"/>
      <c r="I33" s="47"/>
      <c r="K33" s="47"/>
      <c r="L33" s="30">
        <v>13.31</v>
      </c>
      <c r="M33" s="47">
        <f t="shared" ref="M33" si="12">K33+L33</f>
        <v>13.31</v>
      </c>
      <c r="O33" s="47">
        <f t="shared" ref="O33" si="13">M33+N33</f>
        <v>13.31</v>
      </c>
      <c r="P33" s="30"/>
      <c r="Q33" s="47">
        <f t="shared" ref="Q33" si="14">O33+P33</f>
        <v>13.31</v>
      </c>
      <c r="S33" s="47">
        <f t="shared" ref="S33" si="15">Q33+R33</f>
        <v>13.31</v>
      </c>
      <c r="V33" s="47">
        <f>S33+U33</f>
        <v>13.31</v>
      </c>
      <c r="X33" s="47">
        <f>V33+W33</f>
        <v>13.31</v>
      </c>
      <c r="Z33" s="47">
        <f>X33+Y33</f>
        <v>13.31</v>
      </c>
      <c r="AA33" s="86">
        <v>0</v>
      </c>
      <c r="AB33" s="85">
        <f t="shared" si="0"/>
        <v>0</v>
      </c>
    </row>
    <row r="34" spans="1:28" ht="15.75" customHeight="1" x14ac:dyDescent="0.25">
      <c r="A34" s="42" t="s">
        <v>26</v>
      </c>
      <c r="B34" s="35"/>
      <c r="C34" s="35" t="s">
        <v>15</v>
      </c>
      <c r="D34" s="35" t="s">
        <v>109</v>
      </c>
      <c r="E34" s="35"/>
      <c r="F34" s="35"/>
      <c r="G34" s="36">
        <f>G35</f>
        <v>1170</v>
      </c>
      <c r="I34" s="48">
        <f>I35</f>
        <v>1170</v>
      </c>
      <c r="K34" s="48">
        <f>K35</f>
        <v>794</v>
      </c>
      <c r="M34" s="48">
        <f>M35</f>
        <v>794</v>
      </c>
      <c r="O34" s="48">
        <f>O35</f>
        <v>794</v>
      </c>
      <c r="P34" s="30"/>
      <c r="Q34" s="48">
        <f>Q35</f>
        <v>794</v>
      </c>
      <c r="S34" s="48">
        <f>S35</f>
        <v>794</v>
      </c>
      <c r="V34" s="48">
        <f>V35</f>
        <v>794</v>
      </c>
      <c r="X34" s="48">
        <f>X35</f>
        <v>724.21</v>
      </c>
      <c r="Z34" s="48">
        <f>Z35</f>
        <v>724.21</v>
      </c>
      <c r="AA34" s="48">
        <f>AA35</f>
        <v>0</v>
      </c>
      <c r="AB34" s="87">
        <f t="shared" si="0"/>
        <v>0</v>
      </c>
    </row>
    <row r="35" spans="1:28" x14ac:dyDescent="0.25">
      <c r="A35" s="19" t="s">
        <v>143</v>
      </c>
      <c r="B35" s="40"/>
      <c r="C35" s="40" t="s">
        <v>15</v>
      </c>
      <c r="D35" s="40" t="s">
        <v>109</v>
      </c>
      <c r="E35" s="40" t="s">
        <v>227</v>
      </c>
      <c r="F35" s="40"/>
      <c r="G35" s="29">
        <f>G36</f>
        <v>1170</v>
      </c>
      <c r="H35" s="58"/>
      <c r="I35" s="47">
        <f>I36</f>
        <v>1170</v>
      </c>
      <c r="J35" s="30"/>
      <c r="K35" s="47">
        <f>K36</f>
        <v>794</v>
      </c>
      <c r="M35" s="47">
        <f>M36</f>
        <v>794</v>
      </c>
      <c r="O35" s="47">
        <f>O36</f>
        <v>794</v>
      </c>
      <c r="P35" s="30"/>
      <c r="Q35" s="47">
        <f>Q36</f>
        <v>794</v>
      </c>
      <c r="S35" s="47">
        <f>S36</f>
        <v>794</v>
      </c>
      <c r="V35" s="47">
        <f>V36</f>
        <v>794</v>
      </c>
      <c r="X35" s="47">
        <f>X36</f>
        <v>724.21</v>
      </c>
      <c r="Z35" s="47">
        <f>Z36</f>
        <v>724.21</v>
      </c>
      <c r="AA35" s="47">
        <f>AA36</f>
        <v>0</v>
      </c>
      <c r="AB35" s="85">
        <f t="shared" si="0"/>
        <v>0</v>
      </c>
    </row>
    <row r="36" spans="1:28" x14ac:dyDescent="0.25">
      <c r="A36" s="19" t="s">
        <v>228</v>
      </c>
      <c r="B36" s="40"/>
      <c r="C36" s="40" t="s">
        <v>15</v>
      </c>
      <c r="D36" s="40" t="s">
        <v>109</v>
      </c>
      <c r="E36" s="40" t="s">
        <v>227</v>
      </c>
      <c r="F36" s="40" t="s">
        <v>229</v>
      </c>
      <c r="G36" s="29">
        <v>1170</v>
      </c>
      <c r="H36" s="58"/>
      <c r="I36" s="47">
        <f t="shared" ref="I36:K36" si="16">G36+H36</f>
        <v>1170</v>
      </c>
      <c r="J36" s="30">
        <v>-376</v>
      </c>
      <c r="K36" s="47">
        <f t="shared" si="16"/>
        <v>794</v>
      </c>
      <c r="M36" s="47">
        <f t="shared" ref="M36" si="17">K36+L36</f>
        <v>794</v>
      </c>
      <c r="O36" s="47">
        <f t="shared" ref="O36" si="18">M36+N36</f>
        <v>794</v>
      </c>
      <c r="P36" s="30"/>
      <c r="Q36" s="47">
        <f t="shared" ref="Q36" si="19">O36+P36</f>
        <v>794</v>
      </c>
      <c r="S36" s="47">
        <f t="shared" ref="S36" si="20">Q36+R36</f>
        <v>794</v>
      </c>
      <c r="V36" s="47">
        <f>S36+U36</f>
        <v>794</v>
      </c>
      <c r="W36" s="30">
        <v>-69.790000000000006</v>
      </c>
      <c r="X36" s="47">
        <f>V36+W36</f>
        <v>724.21</v>
      </c>
      <c r="Z36" s="47">
        <f>X36+Y36</f>
        <v>724.21</v>
      </c>
      <c r="AA36" s="86">
        <v>0</v>
      </c>
      <c r="AB36" s="85">
        <f t="shared" si="0"/>
        <v>0</v>
      </c>
    </row>
    <row r="37" spans="1:28" x14ac:dyDescent="0.25">
      <c r="A37" s="42" t="s">
        <v>29</v>
      </c>
      <c r="B37" s="35"/>
      <c r="C37" s="35" t="s">
        <v>15</v>
      </c>
      <c r="D37" s="35" t="s">
        <v>195</v>
      </c>
      <c r="E37" s="35"/>
      <c r="F37" s="35"/>
      <c r="G37" s="36">
        <f>G38+G47+G54+G56+G58+G52</f>
        <v>27371.73</v>
      </c>
      <c r="I37" s="48">
        <f>I38+I47+I54+I56+I58+I52</f>
        <v>27371.73</v>
      </c>
      <c r="K37" s="48">
        <f>K38+K47+K54+K56+K58+K52</f>
        <v>25839.69</v>
      </c>
      <c r="M37" s="48">
        <f>M38+M47+M54+M56+M58+M52</f>
        <v>22473.69</v>
      </c>
      <c r="O37" s="48">
        <f>O38+O47+O54+O56+O58+O52</f>
        <v>23080.23</v>
      </c>
      <c r="P37" s="30"/>
      <c r="Q37" s="48">
        <f>Q38+Q47+Q54+Q56+Q58+Q52</f>
        <v>23080.23</v>
      </c>
      <c r="S37" s="48">
        <f>S38+S47+S54+S56+S58+S52</f>
        <v>23080.23</v>
      </c>
      <c r="V37" s="48">
        <f>V38+V47+V54+V56+V58+V52</f>
        <v>23080.23</v>
      </c>
      <c r="X37" s="48">
        <f>X38+X47+X54+X56+X58+X52+X45</f>
        <v>23485.53</v>
      </c>
      <c r="Z37" s="48">
        <f>Z38+Z47+Z54+Z56+Z58+Z52+Z45</f>
        <v>23504.03</v>
      </c>
      <c r="AA37" s="48">
        <f>AA38+AA47+AA54+AA56+AA58+AA52+AA45</f>
        <v>23488.52</v>
      </c>
      <c r="AB37" s="87">
        <f t="shared" si="0"/>
        <v>0.99934011316357241</v>
      </c>
    </row>
    <row r="38" spans="1:28" x14ac:dyDescent="0.25">
      <c r="A38" s="19" t="s">
        <v>230</v>
      </c>
      <c r="B38" s="40"/>
      <c r="C38" s="40" t="s">
        <v>15</v>
      </c>
      <c r="D38" s="40" t="s">
        <v>195</v>
      </c>
      <c r="E38" s="40" t="s">
        <v>231</v>
      </c>
      <c r="F38" s="40"/>
      <c r="G38" s="29">
        <f>G39+G42</f>
        <v>629.70000000000005</v>
      </c>
      <c r="I38" s="47">
        <f>I39+I42</f>
        <v>629.70000000000005</v>
      </c>
      <c r="K38" s="47">
        <f>K39+K42</f>
        <v>629.70000000000005</v>
      </c>
      <c r="M38" s="47">
        <f>M39+M42</f>
        <v>629.70000000000005</v>
      </c>
      <c r="O38" s="47">
        <f>O39+O42</f>
        <v>629.70000000000005</v>
      </c>
      <c r="P38" s="30"/>
      <c r="Q38" s="47">
        <f>Q39+Q42</f>
        <v>629.70000000000005</v>
      </c>
      <c r="S38" s="47">
        <f>S39+S42</f>
        <v>629.70000000000005</v>
      </c>
      <c r="V38" s="47">
        <f>V39+V42</f>
        <v>629.70000000000005</v>
      </c>
      <c r="X38" s="47">
        <f>X39+X42</f>
        <v>636.40000000000009</v>
      </c>
      <c r="Z38" s="47">
        <f>Z39+Z42</f>
        <v>654.90000000000009</v>
      </c>
      <c r="AA38" s="47">
        <f>AA39+AA42</f>
        <v>653.95999999999992</v>
      </c>
      <c r="AB38" s="85">
        <f t="shared" si="0"/>
        <v>0.99856466636127628</v>
      </c>
    </row>
    <row r="39" spans="1:28" x14ac:dyDescent="0.25">
      <c r="A39" s="19" t="s">
        <v>215</v>
      </c>
      <c r="B39" s="40"/>
      <c r="C39" s="40" t="s">
        <v>15</v>
      </c>
      <c r="D39" s="40" t="s">
        <v>195</v>
      </c>
      <c r="E39" s="40" t="s">
        <v>231</v>
      </c>
      <c r="F39" s="40" t="s">
        <v>216</v>
      </c>
      <c r="G39" s="29">
        <f>G40+G41</f>
        <v>619.40000000000009</v>
      </c>
      <c r="I39" s="47">
        <f>I40+I41</f>
        <v>619.40000000000009</v>
      </c>
      <c r="K39" s="47">
        <f>K40+K41</f>
        <v>619.40000000000009</v>
      </c>
      <c r="M39" s="47">
        <f>M40+M41</f>
        <v>619.40000000000009</v>
      </c>
      <c r="O39" s="47">
        <f>O40+O41</f>
        <v>619.40000000000009</v>
      </c>
      <c r="P39" s="30"/>
      <c r="Q39" s="47">
        <f>Q40+Q41</f>
        <v>619.40000000000009</v>
      </c>
      <c r="S39" s="47">
        <f>S40+S41</f>
        <v>619.40000000000009</v>
      </c>
      <c r="V39" s="47">
        <f>V40+V41</f>
        <v>619.40000000000009</v>
      </c>
      <c r="X39" s="47">
        <f>X40+X41</f>
        <v>615.80000000000007</v>
      </c>
      <c r="Z39" s="47">
        <f>Z40+Z41</f>
        <v>632.5200000000001</v>
      </c>
      <c r="AA39" s="47">
        <f>AA40+AA41</f>
        <v>631.66999999999996</v>
      </c>
      <c r="AB39" s="85">
        <f t="shared" si="0"/>
        <v>0.99865616897489384</v>
      </c>
    </row>
    <row r="40" spans="1:28" x14ac:dyDescent="0.25">
      <c r="A40" s="19" t="s">
        <v>217</v>
      </c>
      <c r="B40" s="40"/>
      <c r="C40" s="40" t="s">
        <v>15</v>
      </c>
      <c r="D40" s="40" t="s">
        <v>195</v>
      </c>
      <c r="E40" s="40" t="s">
        <v>231</v>
      </c>
      <c r="F40" s="40" t="s">
        <v>218</v>
      </c>
      <c r="G40" s="29">
        <f>463.6+155.8</f>
        <v>619.40000000000009</v>
      </c>
      <c r="I40" s="47">
        <f t="shared" ref="I40:K44" si="21">G40+H40</f>
        <v>619.40000000000009</v>
      </c>
      <c r="K40" s="47">
        <f t="shared" si="21"/>
        <v>619.40000000000009</v>
      </c>
      <c r="M40" s="47">
        <f t="shared" ref="M40:M41" si="22">K40+L40</f>
        <v>619.40000000000009</v>
      </c>
      <c r="O40" s="47">
        <f t="shared" ref="O40:O41" si="23">M40+N40</f>
        <v>619.40000000000009</v>
      </c>
      <c r="P40" s="30"/>
      <c r="Q40" s="47">
        <f t="shared" ref="Q40:Q41" si="24">O40+P40</f>
        <v>619.40000000000009</v>
      </c>
      <c r="S40" s="47">
        <f t="shared" ref="S40:S41" si="25">Q40+R40</f>
        <v>619.40000000000009</v>
      </c>
      <c r="V40" s="47">
        <f>S40+U40</f>
        <v>619.40000000000009</v>
      </c>
      <c r="W40" s="30">
        <v>-3.6</v>
      </c>
      <c r="X40" s="47">
        <f>V40+W40</f>
        <v>615.80000000000007</v>
      </c>
      <c r="Y40" s="30">
        <v>16.72</v>
      </c>
      <c r="Z40" s="47">
        <f>X40+Y40</f>
        <v>632.5200000000001</v>
      </c>
      <c r="AA40" s="86">
        <v>631.66999999999996</v>
      </c>
      <c r="AB40" s="85">
        <f t="shared" si="0"/>
        <v>0.99865616897489384</v>
      </c>
    </row>
    <row r="41" spans="1:28" ht="19.5" customHeight="1" x14ac:dyDescent="0.25">
      <c r="A41" s="19" t="s">
        <v>219</v>
      </c>
      <c r="B41" s="40"/>
      <c r="C41" s="40" t="s">
        <v>15</v>
      </c>
      <c r="D41" s="40" t="s">
        <v>195</v>
      </c>
      <c r="E41" s="40" t="s">
        <v>231</v>
      </c>
      <c r="F41" s="40" t="s">
        <v>220</v>
      </c>
      <c r="G41" s="29"/>
      <c r="I41" s="47">
        <f t="shared" si="21"/>
        <v>0</v>
      </c>
      <c r="K41" s="47">
        <f t="shared" si="21"/>
        <v>0</v>
      </c>
      <c r="M41" s="47">
        <f t="shared" si="22"/>
        <v>0</v>
      </c>
      <c r="O41" s="47">
        <f t="shared" si="23"/>
        <v>0</v>
      </c>
      <c r="P41" s="30"/>
      <c r="Q41" s="47">
        <f t="shared" si="24"/>
        <v>0</v>
      </c>
      <c r="S41" s="47">
        <f t="shared" si="25"/>
        <v>0</v>
      </c>
      <c r="V41" s="47">
        <f>S41+U41</f>
        <v>0</v>
      </c>
      <c r="X41" s="47">
        <f>V41+W41</f>
        <v>0</v>
      </c>
      <c r="Z41" s="47">
        <f>X41+Y41</f>
        <v>0</v>
      </c>
      <c r="AA41" s="86"/>
      <c r="AB41" s="85"/>
    </row>
    <row r="42" spans="1:28" ht="15" customHeight="1" x14ac:dyDescent="0.25">
      <c r="A42" s="19" t="s">
        <v>221</v>
      </c>
      <c r="B42" s="40"/>
      <c r="C42" s="40" t="s">
        <v>15</v>
      </c>
      <c r="D42" s="40" t="s">
        <v>195</v>
      </c>
      <c r="E42" s="40" t="s">
        <v>231</v>
      </c>
      <c r="F42" s="40" t="s">
        <v>222</v>
      </c>
      <c r="G42" s="29">
        <f>G43+G44</f>
        <v>10.3</v>
      </c>
      <c r="I42" s="47">
        <f>I43+I44</f>
        <v>10.3</v>
      </c>
      <c r="K42" s="47">
        <f>K43+K44</f>
        <v>10.3</v>
      </c>
      <c r="M42" s="47">
        <f>M43+M44</f>
        <v>10.3</v>
      </c>
      <c r="O42" s="47">
        <f>O43+O44</f>
        <v>10.3</v>
      </c>
      <c r="P42" s="30"/>
      <c r="Q42" s="47">
        <f>Q43+Q44</f>
        <v>10.3</v>
      </c>
      <c r="S42" s="47">
        <f>S43+S44</f>
        <v>10.3</v>
      </c>
      <c r="V42" s="47">
        <f>V43+V44</f>
        <v>10.3</v>
      </c>
      <c r="X42" s="47">
        <f>X43+X44</f>
        <v>20.599999999999998</v>
      </c>
      <c r="Z42" s="47">
        <f>Z43+Z44</f>
        <v>22.38</v>
      </c>
      <c r="AA42" s="47">
        <f>AA43+AA44</f>
        <v>22.290000000000003</v>
      </c>
      <c r="AB42" s="85">
        <f t="shared" si="0"/>
        <v>0.99597855227882059</v>
      </c>
    </row>
    <row r="43" spans="1:28" ht="14.25" customHeight="1" x14ac:dyDescent="0.25">
      <c r="A43" s="19" t="s">
        <v>223</v>
      </c>
      <c r="B43" s="40"/>
      <c r="C43" s="40" t="s">
        <v>15</v>
      </c>
      <c r="D43" s="40" t="s">
        <v>195</v>
      </c>
      <c r="E43" s="40" t="s">
        <v>231</v>
      </c>
      <c r="F43" s="40" t="s">
        <v>224</v>
      </c>
      <c r="G43" s="29">
        <v>10.3</v>
      </c>
      <c r="I43" s="47">
        <f t="shared" si="21"/>
        <v>10.3</v>
      </c>
      <c r="K43" s="47">
        <f t="shared" si="21"/>
        <v>10.3</v>
      </c>
      <c r="M43" s="47">
        <f t="shared" ref="M43:M44" si="26">K43+L43</f>
        <v>10.3</v>
      </c>
      <c r="O43" s="47">
        <f t="shared" ref="O43:O44" si="27">M43+N43</f>
        <v>10.3</v>
      </c>
      <c r="P43" s="30"/>
      <c r="Q43" s="47">
        <f t="shared" ref="Q43:Q44" si="28">O43+P43</f>
        <v>10.3</v>
      </c>
      <c r="S43" s="47">
        <f t="shared" ref="S43:S44" si="29">Q43+R43</f>
        <v>10.3</v>
      </c>
      <c r="V43" s="47">
        <f>S43+U43</f>
        <v>10.3</v>
      </c>
      <c r="W43" s="30">
        <v>7.6</v>
      </c>
      <c r="X43" s="47">
        <f>V43+W43</f>
        <v>17.899999999999999</v>
      </c>
      <c r="Y43" s="30">
        <v>1.78</v>
      </c>
      <c r="Z43" s="47">
        <f>X43+Y43</f>
        <v>19.68</v>
      </c>
      <c r="AA43" s="86">
        <v>19.670000000000002</v>
      </c>
      <c r="AB43" s="85">
        <f t="shared" si="0"/>
        <v>0.99949186991869932</v>
      </c>
    </row>
    <row r="44" spans="1:28" x14ac:dyDescent="0.25">
      <c r="A44" s="19" t="s">
        <v>244</v>
      </c>
      <c r="B44" s="40"/>
      <c r="C44" s="40" t="s">
        <v>15</v>
      </c>
      <c r="D44" s="40" t="s">
        <v>195</v>
      </c>
      <c r="E44" s="40" t="s">
        <v>231</v>
      </c>
      <c r="F44" s="40" t="s">
        <v>225</v>
      </c>
      <c r="G44" s="29"/>
      <c r="I44" s="47">
        <f t="shared" si="21"/>
        <v>0</v>
      </c>
      <c r="K44" s="47">
        <f t="shared" si="21"/>
        <v>0</v>
      </c>
      <c r="M44" s="47">
        <f t="shared" si="26"/>
        <v>0</v>
      </c>
      <c r="O44" s="47">
        <f t="shared" si="27"/>
        <v>0</v>
      </c>
      <c r="P44" s="30"/>
      <c r="Q44" s="47">
        <f t="shared" si="28"/>
        <v>0</v>
      </c>
      <c r="S44" s="47">
        <f t="shared" si="29"/>
        <v>0</v>
      </c>
      <c r="V44" s="47">
        <f>S44+U44</f>
        <v>0</v>
      </c>
      <c r="W44" s="30">
        <v>2.7</v>
      </c>
      <c r="X44" s="47">
        <f>V44+W44</f>
        <v>2.7</v>
      </c>
      <c r="Z44" s="47">
        <f>X44+Y44</f>
        <v>2.7</v>
      </c>
      <c r="AA44" s="86">
        <v>2.62</v>
      </c>
      <c r="AB44" s="85">
        <f t="shared" si="0"/>
        <v>0.97037037037037033</v>
      </c>
    </row>
    <row r="45" spans="1:28" x14ac:dyDescent="0.25">
      <c r="A45" s="19" t="s">
        <v>632</v>
      </c>
      <c r="B45" s="40"/>
      <c r="C45" s="40" t="s">
        <v>15</v>
      </c>
      <c r="D45" s="40" t="s">
        <v>195</v>
      </c>
      <c r="E45" s="40" t="s">
        <v>630</v>
      </c>
      <c r="F45" s="40" t="s">
        <v>631</v>
      </c>
      <c r="G45" s="29"/>
      <c r="I45" s="47"/>
      <c r="K45" s="47"/>
      <c r="M45" s="47"/>
      <c r="O45" s="47"/>
      <c r="P45" s="30"/>
      <c r="Q45" s="47"/>
      <c r="S45" s="47"/>
      <c r="V45" s="47"/>
      <c r="X45" s="47">
        <f>X46</f>
        <v>2.5</v>
      </c>
      <c r="Z45" s="47">
        <f>Z46</f>
        <v>2.5</v>
      </c>
      <c r="AA45" s="47">
        <f>AA46</f>
        <v>2.5</v>
      </c>
      <c r="AB45" s="85">
        <f t="shared" si="0"/>
        <v>1</v>
      </c>
    </row>
    <row r="46" spans="1:28" ht="19.5" customHeight="1" x14ac:dyDescent="0.25">
      <c r="A46" s="19" t="s">
        <v>223</v>
      </c>
      <c r="B46" s="40"/>
      <c r="C46" s="40" t="s">
        <v>15</v>
      </c>
      <c r="D46" s="40" t="s">
        <v>195</v>
      </c>
      <c r="E46" s="40" t="s">
        <v>630</v>
      </c>
      <c r="F46" s="40" t="s">
        <v>224</v>
      </c>
      <c r="G46" s="29"/>
      <c r="I46" s="47"/>
      <c r="K46" s="47"/>
      <c r="M46" s="47"/>
      <c r="O46" s="47"/>
      <c r="P46" s="30"/>
      <c r="Q46" s="47"/>
      <c r="S46" s="47"/>
      <c r="V46" s="47"/>
      <c r="W46" s="30">
        <v>2.5</v>
      </c>
      <c r="X46" s="47">
        <f>V46+W46</f>
        <v>2.5</v>
      </c>
      <c r="Z46" s="47">
        <f>X46+Y46</f>
        <v>2.5</v>
      </c>
      <c r="AA46" s="86">
        <v>2.5</v>
      </c>
      <c r="AB46" s="85">
        <f t="shared" si="0"/>
        <v>1</v>
      </c>
    </row>
    <row r="47" spans="1:28" ht="13.5" customHeight="1" x14ac:dyDescent="0.25">
      <c r="A47" s="19" t="s">
        <v>232</v>
      </c>
      <c r="B47" s="40"/>
      <c r="C47" s="40" t="s">
        <v>15</v>
      </c>
      <c r="D47" s="40" t="s">
        <v>195</v>
      </c>
      <c r="E47" s="40" t="s">
        <v>25</v>
      </c>
      <c r="F47" s="40"/>
      <c r="G47" s="29">
        <f>G49+G51</f>
        <v>373.8</v>
      </c>
      <c r="I47" s="47">
        <f>I49+I51</f>
        <v>373.8</v>
      </c>
      <c r="K47" s="47">
        <f>K49+K51</f>
        <v>373.8</v>
      </c>
      <c r="M47" s="47">
        <f>M49+M51</f>
        <v>373.8</v>
      </c>
      <c r="O47" s="47">
        <f>O49+O51</f>
        <v>373.8</v>
      </c>
      <c r="P47" s="30"/>
      <c r="Q47" s="47">
        <f>Q49+Q51</f>
        <v>373.8</v>
      </c>
      <c r="S47" s="47">
        <f>S49+S51</f>
        <v>373.8</v>
      </c>
      <c r="V47" s="47">
        <f>V49+V51</f>
        <v>373.8</v>
      </c>
      <c r="X47" s="47">
        <f>X49+X51</f>
        <v>373.8</v>
      </c>
      <c r="Z47" s="47">
        <f>Z49+Z51</f>
        <v>373.8</v>
      </c>
      <c r="AA47" s="47">
        <f>AA49+AA51</f>
        <v>373.76000000000005</v>
      </c>
      <c r="AB47" s="85">
        <f t="shared" si="0"/>
        <v>0.99989299090422701</v>
      </c>
    </row>
    <row r="48" spans="1:28" x14ac:dyDescent="0.25">
      <c r="A48" s="19" t="s">
        <v>215</v>
      </c>
      <c r="B48" s="40"/>
      <c r="C48" s="40" t="s">
        <v>15</v>
      </c>
      <c r="D48" s="40" t="s">
        <v>195</v>
      </c>
      <c r="E48" s="40" t="s">
        <v>25</v>
      </c>
      <c r="F48" s="40" t="s">
        <v>216</v>
      </c>
      <c r="G48" s="29">
        <f>G49</f>
        <v>362.6</v>
      </c>
      <c r="I48" s="47">
        <f>I49</f>
        <v>362.6</v>
      </c>
      <c r="K48" s="47">
        <f>K49</f>
        <v>362.6</v>
      </c>
      <c r="M48" s="47">
        <f>M49</f>
        <v>362.6</v>
      </c>
      <c r="O48" s="47">
        <f>O49</f>
        <v>362.6</v>
      </c>
      <c r="P48" s="30"/>
      <c r="Q48" s="47">
        <f>Q49</f>
        <v>362.6</v>
      </c>
      <c r="S48" s="47">
        <f>S49</f>
        <v>362.6</v>
      </c>
      <c r="V48" s="47">
        <f>V49</f>
        <v>362.6</v>
      </c>
      <c r="X48" s="47">
        <f>X49</f>
        <v>369.6</v>
      </c>
      <c r="Z48" s="47">
        <f>Z49</f>
        <v>369.6</v>
      </c>
      <c r="AA48" s="47">
        <f>AA49</f>
        <v>369.6</v>
      </c>
      <c r="AB48" s="85">
        <f t="shared" si="0"/>
        <v>1</v>
      </c>
    </row>
    <row r="49" spans="1:28" x14ac:dyDescent="0.25">
      <c r="A49" s="19" t="s">
        <v>217</v>
      </c>
      <c r="B49" s="40"/>
      <c r="C49" s="40" t="s">
        <v>15</v>
      </c>
      <c r="D49" s="40" t="s">
        <v>195</v>
      </c>
      <c r="E49" s="40" t="s">
        <v>25</v>
      </c>
      <c r="F49" s="40" t="s">
        <v>218</v>
      </c>
      <c r="G49" s="29">
        <f>270.2+92.4</f>
        <v>362.6</v>
      </c>
      <c r="I49" s="47">
        <f t="shared" ref="I49:K59" si="30">G49+H49</f>
        <v>362.6</v>
      </c>
      <c r="K49" s="47">
        <f t="shared" si="30"/>
        <v>362.6</v>
      </c>
      <c r="M49" s="47">
        <f t="shared" ref="M49" si="31">K49+L49</f>
        <v>362.6</v>
      </c>
      <c r="O49" s="47">
        <f t="shared" ref="O49" si="32">M49+N49</f>
        <v>362.6</v>
      </c>
      <c r="P49" s="30"/>
      <c r="Q49" s="47">
        <f t="shared" ref="Q49" si="33">O49+P49</f>
        <v>362.6</v>
      </c>
      <c r="S49" s="47">
        <f t="shared" ref="S49" si="34">Q49+R49</f>
        <v>362.6</v>
      </c>
      <c r="V49" s="47">
        <f>S49+U49</f>
        <v>362.6</v>
      </c>
      <c r="W49" s="30">
        <v>7</v>
      </c>
      <c r="X49" s="47">
        <f>V49+W49</f>
        <v>369.6</v>
      </c>
      <c r="Z49" s="47">
        <f>X49+Y49</f>
        <v>369.6</v>
      </c>
      <c r="AA49" s="86">
        <v>369.6</v>
      </c>
      <c r="AB49" s="85">
        <f t="shared" si="0"/>
        <v>1</v>
      </c>
    </row>
    <row r="50" spans="1:28" ht="14.25" customHeight="1" x14ac:dyDescent="0.25">
      <c r="A50" s="19" t="s">
        <v>221</v>
      </c>
      <c r="B50" s="40"/>
      <c r="C50" s="40" t="s">
        <v>15</v>
      </c>
      <c r="D50" s="40" t="s">
        <v>195</v>
      </c>
      <c r="E50" s="40" t="s">
        <v>25</v>
      </c>
      <c r="F50" s="40" t="s">
        <v>222</v>
      </c>
      <c r="G50" s="29">
        <f>G51</f>
        <v>11.200000000000001</v>
      </c>
      <c r="I50" s="47">
        <f>I51</f>
        <v>11.200000000000001</v>
      </c>
      <c r="K50" s="47">
        <f>K51</f>
        <v>11.200000000000001</v>
      </c>
      <c r="M50" s="47">
        <f>M51</f>
        <v>11.200000000000001</v>
      </c>
      <c r="O50" s="47">
        <f>O51</f>
        <v>11.200000000000001</v>
      </c>
      <c r="P50" s="30"/>
      <c r="Q50" s="47">
        <f>Q51</f>
        <v>11.200000000000001</v>
      </c>
      <c r="S50" s="47">
        <f>S51</f>
        <v>11.200000000000001</v>
      </c>
      <c r="V50" s="47">
        <f>V51</f>
        <v>11.200000000000001</v>
      </c>
      <c r="X50" s="47">
        <f>X51</f>
        <v>4.2000000000000011</v>
      </c>
      <c r="Z50" s="47">
        <f>Z51</f>
        <v>4.2000000000000011</v>
      </c>
      <c r="AA50" s="47">
        <f>AA51</f>
        <v>4.16</v>
      </c>
      <c r="AB50" s="85">
        <f t="shared" si="0"/>
        <v>0.99047619047619029</v>
      </c>
    </row>
    <row r="51" spans="1:28" ht="13.5" customHeight="1" x14ac:dyDescent="0.25">
      <c r="A51" s="19" t="s">
        <v>244</v>
      </c>
      <c r="B51" s="40"/>
      <c r="C51" s="40" t="s">
        <v>15</v>
      </c>
      <c r="D51" s="40" t="s">
        <v>195</v>
      </c>
      <c r="E51" s="40" t="s">
        <v>25</v>
      </c>
      <c r="F51" s="40" t="s">
        <v>225</v>
      </c>
      <c r="G51" s="29">
        <f>1.3+8.5+1.4</f>
        <v>11.200000000000001</v>
      </c>
      <c r="I51" s="47">
        <f t="shared" si="30"/>
        <v>11.200000000000001</v>
      </c>
      <c r="K51" s="47">
        <f t="shared" si="30"/>
        <v>11.200000000000001</v>
      </c>
      <c r="M51" s="47">
        <f t="shared" ref="M51" si="35">K51+L51</f>
        <v>11.200000000000001</v>
      </c>
      <c r="O51" s="47">
        <f t="shared" ref="O51" si="36">M51+N51</f>
        <v>11.200000000000001</v>
      </c>
      <c r="P51" s="30"/>
      <c r="Q51" s="47">
        <f t="shared" ref="Q51" si="37">O51+P51</f>
        <v>11.200000000000001</v>
      </c>
      <c r="S51" s="47">
        <f t="shared" ref="S51" si="38">Q51+R51</f>
        <v>11.200000000000001</v>
      </c>
      <c r="V51" s="47">
        <f>S51+U51</f>
        <v>11.200000000000001</v>
      </c>
      <c r="W51" s="30">
        <v>-7</v>
      </c>
      <c r="X51" s="47">
        <f>V51+W51</f>
        <v>4.2000000000000011</v>
      </c>
      <c r="Z51" s="47">
        <f>X51+Y51</f>
        <v>4.2000000000000011</v>
      </c>
      <c r="AA51" s="86">
        <v>4.16</v>
      </c>
      <c r="AB51" s="85">
        <f t="shared" si="0"/>
        <v>0.99047619047619029</v>
      </c>
    </row>
    <row r="52" spans="1:28" ht="29.25" customHeight="1" x14ac:dyDescent="0.25">
      <c r="A52" s="19" t="s">
        <v>368</v>
      </c>
      <c r="B52" s="40"/>
      <c r="C52" s="40" t="s">
        <v>15</v>
      </c>
      <c r="D52" s="40" t="s">
        <v>195</v>
      </c>
      <c r="E52" s="40" t="s">
        <v>355</v>
      </c>
      <c r="F52" s="40"/>
      <c r="G52" s="47">
        <f>G53</f>
        <v>0.23</v>
      </c>
      <c r="I52" s="47">
        <f>I53</f>
        <v>0.23</v>
      </c>
      <c r="K52" s="47">
        <f>K53</f>
        <v>0.23</v>
      </c>
      <c r="M52" s="47">
        <f>M53</f>
        <v>0.23</v>
      </c>
      <c r="O52" s="47">
        <f>O53</f>
        <v>0.23</v>
      </c>
      <c r="P52" s="30"/>
      <c r="Q52" s="47">
        <f>Q53</f>
        <v>0.23</v>
      </c>
      <c r="S52" s="47">
        <f>S53</f>
        <v>0.23</v>
      </c>
      <c r="V52" s="47">
        <f>V53</f>
        <v>0.23</v>
      </c>
      <c r="X52" s="47">
        <f>X53</f>
        <v>0.23</v>
      </c>
      <c r="Z52" s="47">
        <f>Z53</f>
        <v>0.23</v>
      </c>
      <c r="AA52" s="47">
        <f>AA53</f>
        <v>0</v>
      </c>
      <c r="AB52" s="85">
        <f t="shared" si="0"/>
        <v>0</v>
      </c>
    </row>
    <row r="53" spans="1:28" x14ac:dyDescent="0.25">
      <c r="A53" s="19" t="s">
        <v>217</v>
      </c>
      <c r="B53" s="40"/>
      <c r="C53" s="40" t="s">
        <v>15</v>
      </c>
      <c r="D53" s="40" t="s">
        <v>195</v>
      </c>
      <c r="E53" s="40" t="s">
        <v>355</v>
      </c>
      <c r="F53" s="40" t="s">
        <v>218</v>
      </c>
      <c r="G53" s="47">
        <v>0.23</v>
      </c>
      <c r="I53" s="47">
        <f t="shared" si="30"/>
        <v>0.23</v>
      </c>
      <c r="K53" s="47">
        <f t="shared" si="30"/>
        <v>0.23</v>
      </c>
      <c r="M53" s="47">
        <f t="shared" ref="M53" si="39">K53+L53</f>
        <v>0.23</v>
      </c>
      <c r="O53" s="47">
        <f t="shared" ref="O53" si="40">M53+N53</f>
        <v>0.23</v>
      </c>
      <c r="P53" s="30"/>
      <c r="Q53" s="47">
        <f t="shared" ref="Q53" si="41">O53+P53</f>
        <v>0.23</v>
      </c>
      <c r="S53" s="47">
        <f t="shared" ref="S53" si="42">Q53+R53</f>
        <v>0.23</v>
      </c>
      <c r="V53" s="47">
        <f>S53+U53</f>
        <v>0.23</v>
      </c>
      <c r="X53" s="47">
        <f>V53+W53</f>
        <v>0.23</v>
      </c>
      <c r="Z53" s="47">
        <f>X53+Y53</f>
        <v>0.23</v>
      </c>
      <c r="AA53" s="86">
        <v>0</v>
      </c>
      <c r="AB53" s="85">
        <f t="shared" si="0"/>
        <v>0</v>
      </c>
    </row>
    <row r="54" spans="1:28" ht="31.5" customHeight="1" x14ac:dyDescent="0.25">
      <c r="A54" s="19" t="s">
        <v>34</v>
      </c>
      <c r="B54" s="40"/>
      <c r="C54" s="40" t="s">
        <v>15</v>
      </c>
      <c r="D54" s="40" t="s">
        <v>195</v>
      </c>
      <c r="E54" s="40" t="s">
        <v>233</v>
      </c>
      <c r="F54" s="40"/>
      <c r="G54" s="29">
        <f>G55</f>
        <v>50</v>
      </c>
      <c r="I54" s="47">
        <f>I55</f>
        <v>50</v>
      </c>
      <c r="K54" s="47">
        <f>K55</f>
        <v>240.5</v>
      </c>
      <c r="M54" s="47">
        <f>M55</f>
        <v>340</v>
      </c>
      <c r="O54" s="47">
        <f>O55</f>
        <v>340</v>
      </c>
      <c r="P54" s="30"/>
      <c r="Q54" s="47">
        <f>Q55</f>
        <v>340</v>
      </c>
      <c r="S54" s="47">
        <f>S55</f>
        <v>340</v>
      </c>
      <c r="V54" s="47">
        <f>V55</f>
        <v>340</v>
      </c>
      <c r="X54" s="47">
        <f>X55</f>
        <v>340</v>
      </c>
      <c r="Z54" s="47">
        <f>Z55</f>
        <v>340</v>
      </c>
      <c r="AA54" s="47">
        <f>AA55</f>
        <v>340</v>
      </c>
      <c r="AB54" s="85">
        <f t="shared" si="0"/>
        <v>1</v>
      </c>
    </row>
    <row r="55" spans="1:28" ht="15" customHeight="1" x14ac:dyDescent="0.25">
      <c r="A55" s="19" t="s">
        <v>244</v>
      </c>
      <c r="B55" s="40"/>
      <c r="C55" s="40" t="s">
        <v>15</v>
      </c>
      <c r="D55" s="40" t="s">
        <v>195</v>
      </c>
      <c r="E55" s="40" t="s">
        <v>233</v>
      </c>
      <c r="F55" s="40" t="s">
        <v>225</v>
      </c>
      <c r="G55" s="29">
        <v>50</v>
      </c>
      <c r="I55" s="47">
        <f t="shared" si="30"/>
        <v>50</v>
      </c>
      <c r="J55" s="28">
        <f>177+13.5</f>
        <v>190.5</v>
      </c>
      <c r="K55" s="47">
        <f t="shared" si="30"/>
        <v>240.5</v>
      </c>
      <c r="L55" s="30">
        <v>99.5</v>
      </c>
      <c r="M55" s="47">
        <f t="shared" ref="M55" si="43">K55+L55</f>
        <v>340</v>
      </c>
      <c r="O55" s="47">
        <f t="shared" ref="O55" si="44">M55+N55</f>
        <v>340</v>
      </c>
      <c r="P55" s="30"/>
      <c r="Q55" s="47">
        <f t="shared" ref="Q55" si="45">O55+P55</f>
        <v>340</v>
      </c>
      <c r="S55" s="47">
        <f t="shared" ref="S55" si="46">Q55+R55</f>
        <v>340</v>
      </c>
      <c r="V55" s="47">
        <f>S55+U55</f>
        <v>340</v>
      </c>
      <c r="X55" s="47">
        <f>V55+W55</f>
        <v>340</v>
      </c>
      <c r="Z55" s="47">
        <f>X55+Y55</f>
        <v>340</v>
      </c>
      <c r="AA55" s="86">
        <v>340</v>
      </c>
      <c r="AB55" s="85">
        <f t="shared" si="0"/>
        <v>1</v>
      </c>
    </row>
    <row r="56" spans="1:28" x14ac:dyDescent="0.25">
      <c r="A56" s="19" t="s">
        <v>177</v>
      </c>
      <c r="B56" s="40"/>
      <c r="C56" s="40" t="s">
        <v>15</v>
      </c>
      <c r="D56" s="40" t="s">
        <v>195</v>
      </c>
      <c r="E56" s="40" t="s">
        <v>234</v>
      </c>
      <c r="F56" s="40"/>
      <c r="G56" s="29">
        <f>G57</f>
        <v>26197</v>
      </c>
      <c r="I56" s="47">
        <f>I57</f>
        <v>26197</v>
      </c>
      <c r="K56" s="47">
        <f>K57</f>
        <v>24474.46</v>
      </c>
      <c r="M56" s="47">
        <f>M57</f>
        <v>21008.959999999999</v>
      </c>
      <c r="O56" s="47">
        <f>O57</f>
        <v>21615.5</v>
      </c>
      <c r="P56" s="30"/>
      <c r="Q56" s="47">
        <f>Q57</f>
        <v>21615.5</v>
      </c>
      <c r="S56" s="47">
        <f>S57</f>
        <v>21615.5</v>
      </c>
      <c r="V56" s="47">
        <f>V57</f>
        <v>21615.5</v>
      </c>
      <c r="X56" s="47">
        <f>X57</f>
        <v>22011.599999999999</v>
      </c>
      <c r="Z56" s="47">
        <f>Z57</f>
        <v>22011.599999999999</v>
      </c>
      <c r="AA56" s="47">
        <f>AA57</f>
        <v>22000.799999999999</v>
      </c>
      <c r="AB56" s="85">
        <f t="shared" si="0"/>
        <v>0.99950934961565718</v>
      </c>
    </row>
    <row r="57" spans="1:28" ht="60.75" customHeight="1" x14ac:dyDescent="0.25">
      <c r="A57" s="19" t="s">
        <v>260</v>
      </c>
      <c r="B57" s="40"/>
      <c r="C57" s="40" t="s">
        <v>15</v>
      </c>
      <c r="D57" s="40" t="s">
        <v>195</v>
      </c>
      <c r="E57" s="40" t="s">
        <v>234</v>
      </c>
      <c r="F57" s="40" t="s">
        <v>259</v>
      </c>
      <c r="G57" s="29">
        <v>26197</v>
      </c>
      <c r="I57" s="47">
        <f t="shared" si="30"/>
        <v>26197</v>
      </c>
      <c r="J57" s="30">
        <v>-1722.54</v>
      </c>
      <c r="K57" s="47">
        <f t="shared" si="30"/>
        <v>24474.46</v>
      </c>
      <c r="L57" s="30">
        <f>-3533.5+68</f>
        <v>-3465.5</v>
      </c>
      <c r="M57" s="47">
        <f t="shared" ref="M57" si="47">K57+L57</f>
        <v>21008.959999999999</v>
      </c>
      <c r="N57" s="30">
        <f>-26.22+632.76</f>
        <v>606.54</v>
      </c>
      <c r="O57" s="47">
        <f t="shared" ref="O57" si="48">M57+N57</f>
        <v>21615.5</v>
      </c>
      <c r="P57" s="30"/>
      <c r="Q57" s="47">
        <f t="shared" ref="Q57" si="49">O57+P57</f>
        <v>21615.5</v>
      </c>
      <c r="S57" s="47">
        <f t="shared" ref="S57" si="50">Q57+R57</f>
        <v>21615.5</v>
      </c>
      <c r="V57" s="47">
        <f>S57+U57</f>
        <v>21615.5</v>
      </c>
      <c r="W57" s="30">
        <v>396.1</v>
      </c>
      <c r="X57" s="47">
        <f>V57+W57</f>
        <v>22011.599999999999</v>
      </c>
      <c r="Z57" s="47">
        <f>X57+Y57</f>
        <v>22011.599999999999</v>
      </c>
      <c r="AA57" s="86">
        <v>22000.799999999999</v>
      </c>
      <c r="AB57" s="85">
        <f t="shared" si="0"/>
        <v>0.99950934961565718</v>
      </c>
    </row>
    <row r="58" spans="1:28" ht="15.75" customHeight="1" x14ac:dyDescent="0.25">
      <c r="A58" s="19" t="s">
        <v>397</v>
      </c>
      <c r="B58" s="40"/>
      <c r="C58" s="40" t="s">
        <v>15</v>
      </c>
      <c r="D58" s="40" t="s">
        <v>195</v>
      </c>
      <c r="E58" s="40" t="s">
        <v>235</v>
      </c>
      <c r="F58" s="40"/>
      <c r="G58" s="29">
        <f>G59</f>
        <v>121</v>
      </c>
      <c r="I58" s="47">
        <f>I59</f>
        <v>121</v>
      </c>
      <c r="K58" s="47">
        <f>K59</f>
        <v>121</v>
      </c>
      <c r="M58" s="47">
        <f>M59</f>
        <v>121</v>
      </c>
      <c r="O58" s="47">
        <f>O59</f>
        <v>121</v>
      </c>
      <c r="P58" s="30"/>
      <c r="Q58" s="47">
        <f>Q59</f>
        <v>121</v>
      </c>
      <c r="S58" s="47">
        <f>S59</f>
        <v>121</v>
      </c>
      <c r="V58" s="47">
        <f>V59</f>
        <v>121</v>
      </c>
      <c r="X58" s="47">
        <f>X59</f>
        <v>121</v>
      </c>
      <c r="Z58" s="47">
        <f>Z59</f>
        <v>121</v>
      </c>
      <c r="AA58" s="47">
        <f>AA59</f>
        <v>117.5</v>
      </c>
      <c r="AB58" s="85">
        <f t="shared" si="0"/>
        <v>0.97107438016528924</v>
      </c>
    </row>
    <row r="59" spans="1:28" ht="21" customHeight="1" x14ac:dyDescent="0.25">
      <c r="A59" s="19" t="s">
        <v>223</v>
      </c>
      <c r="B59" s="40"/>
      <c r="C59" s="40" t="s">
        <v>15</v>
      </c>
      <c r="D59" s="40" t="s">
        <v>195</v>
      </c>
      <c r="E59" s="40" t="s">
        <v>235</v>
      </c>
      <c r="F59" s="40" t="s">
        <v>224</v>
      </c>
      <c r="G59" s="29">
        <v>121</v>
      </c>
      <c r="I59" s="47">
        <f t="shared" si="30"/>
        <v>121</v>
      </c>
      <c r="K59" s="47">
        <f t="shared" si="30"/>
        <v>121</v>
      </c>
      <c r="M59" s="47">
        <f t="shared" ref="M59" si="51">K59+L59</f>
        <v>121</v>
      </c>
      <c r="O59" s="47">
        <f t="shared" ref="O59" si="52">M59+N59</f>
        <v>121</v>
      </c>
      <c r="P59" s="30"/>
      <c r="Q59" s="47">
        <f t="shared" ref="Q59" si="53">O59+P59</f>
        <v>121</v>
      </c>
      <c r="S59" s="47">
        <f t="shared" ref="S59" si="54">Q59+R59</f>
        <v>121</v>
      </c>
      <c r="V59" s="47">
        <f>S59+U59</f>
        <v>121</v>
      </c>
      <c r="X59" s="47">
        <f>V59+W59</f>
        <v>121</v>
      </c>
      <c r="Z59" s="47">
        <f>X59+Y59</f>
        <v>121</v>
      </c>
      <c r="AA59" s="86">
        <v>117.5</v>
      </c>
      <c r="AB59" s="85">
        <f t="shared" si="0"/>
        <v>0.97107438016528924</v>
      </c>
    </row>
    <row r="60" spans="1:28" x14ac:dyDescent="0.25">
      <c r="A60" s="42" t="s">
        <v>145</v>
      </c>
      <c r="B60" s="35"/>
      <c r="C60" s="35" t="s">
        <v>17</v>
      </c>
      <c r="D60" s="35"/>
      <c r="E60" s="35"/>
      <c r="F60" s="35"/>
      <c r="G60" s="36">
        <f>G61</f>
        <v>582.09999999999991</v>
      </c>
      <c r="I60" s="48">
        <f>I61</f>
        <v>582.09999999999991</v>
      </c>
      <c r="K60" s="48">
        <f>K61</f>
        <v>582.09999999999991</v>
      </c>
      <c r="M60" s="48">
        <f>M61</f>
        <v>582.09999999999991</v>
      </c>
      <c r="O60" s="48">
        <f>O61</f>
        <v>582.09999999999991</v>
      </c>
      <c r="P60" s="30"/>
      <c r="Q60" s="48">
        <f>Q61</f>
        <v>582.09999999999991</v>
      </c>
      <c r="S60" s="48">
        <f>S61</f>
        <v>582.09999999999991</v>
      </c>
      <c r="V60" s="48">
        <f>V61</f>
        <v>582.09999999999991</v>
      </c>
      <c r="X60" s="48">
        <f>X61</f>
        <v>582.09999999999991</v>
      </c>
      <c r="Z60" s="48">
        <f>Z61</f>
        <v>582.09999999999991</v>
      </c>
      <c r="AA60" s="48">
        <f>AA61</f>
        <v>582.1</v>
      </c>
      <c r="AB60" s="87">
        <f t="shared" si="0"/>
        <v>1.0000000000000002</v>
      </c>
    </row>
    <row r="61" spans="1:28" x14ac:dyDescent="0.25">
      <c r="A61" s="42" t="s">
        <v>313</v>
      </c>
      <c r="B61" s="35"/>
      <c r="C61" s="35" t="s">
        <v>17</v>
      </c>
      <c r="D61" s="35" t="s">
        <v>20</v>
      </c>
      <c r="E61" s="35"/>
      <c r="F61" s="35"/>
      <c r="G61" s="36">
        <f>G62</f>
        <v>582.09999999999991</v>
      </c>
      <c r="I61" s="48">
        <f>I62</f>
        <v>582.09999999999991</v>
      </c>
      <c r="K61" s="48">
        <f>K62</f>
        <v>582.09999999999991</v>
      </c>
      <c r="M61" s="48">
        <f>M62</f>
        <v>582.09999999999991</v>
      </c>
      <c r="O61" s="48">
        <f>O62</f>
        <v>582.09999999999991</v>
      </c>
      <c r="P61" s="30"/>
      <c r="Q61" s="48">
        <f>Q62</f>
        <v>582.09999999999991</v>
      </c>
      <c r="S61" s="48">
        <f>S62</f>
        <v>582.09999999999991</v>
      </c>
      <c r="V61" s="48">
        <f>V62</f>
        <v>582.09999999999991</v>
      </c>
      <c r="X61" s="48">
        <f>X62</f>
        <v>582.09999999999991</v>
      </c>
      <c r="Z61" s="48">
        <f>Z62</f>
        <v>582.09999999999991</v>
      </c>
      <c r="AA61" s="48">
        <f>AA62</f>
        <v>582.1</v>
      </c>
      <c r="AB61" s="87">
        <f t="shared" si="0"/>
        <v>1.0000000000000002</v>
      </c>
    </row>
    <row r="62" spans="1:28" ht="30" customHeight="1" x14ac:dyDescent="0.25">
      <c r="A62" s="19" t="s">
        <v>3</v>
      </c>
      <c r="B62" s="40"/>
      <c r="C62" s="40" t="s">
        <v>17</v>
      </c>
      <c r="D62" s="40" t="s">
        <v>20</v>
      </c>
      <c r="E62" s="40" t="s">
        <v>236</v>
      </c>
      <c r="F62" s="40"/>
      <c r="G62" s="29">
        <f>G63+G66</f>
        <v>582.09999999999991</v>
      </c>
      <c r="I62" s="47">
        <f>I63+I66</f>
        <v>582.09999999999991</v>
      </c>
      <c r="K62" s="47">
        <f>K63+K66</f>
        <v>582.09999999999991</v>
      </c>
      <c r="M62" s="47">
        <f>M63+M66</f>
        <v>582.09999999999991</v>
      </c>
      <c r="O62" s="47">
        <f>O63+O66</f>
        <v>582.09999999999991</v>
      </c>
      <c r="P62" s="30"/>
      <c r="Q62" s="47">
        <f>Q63+Q66</f>
        <v>582.09999999999991</v>
      </c>
      <c r="S62" s="47">
        <f>S63+S66</f>
        <v>582.09999999999991</v>
      </c>
      <c r="V62" s="47">
        <f>V63+V66</f>
        <v>582.09999999999991</v>
      </c>
      <c r="X62" s="47">
        <f>X63+X66</f>
        <v>582.09999999999991</v>
      </c>
      <c r="Z62" s="47">
        <f>Z63+Z66</f>
        <v>582.09999999999991</v>
      </c>
      <c r="AA62" s="47">
        <f>AA63+AA66</f>
        <v>582.1</v>
      </c>
      <c r="AB62" s="85">
        <f t="shared" si="0"/>
        <v>1.0000000000000002</v>
      </c>
    </row>
    <row r="63" spans="1:28" x14ac:dyDescent="0.25">
      <c r="A63" s="19" t="s">
        <v>215</v>
      </c>
      <c r="B63" s="40"/>
      <c r="C63" s="40" t="s">
        <v>17</v>
      </c>
      <c r="D63" s="40" t="s">
        <v>20</v>
      </c>
      <c r="E63" s="40" t="s">
        <v>236</v>
      </c>
      <c r="F63" s="40" t="s">
        <v>216</v>
      </c>
      <c r="G63" s="29">
        <f>G64+G65</f>
        <v>566.79999999999995</v>
      </c>
      <c r="I63" s="47">
        <f>I64+I65</f>
        <v>566.79999999999995</v>
      </c>
      <c r="K63" s="47">
        <f>K64+K65</f>
        <v>566.79999999999995</v>
      </c>
      <c r="M63" s="47">
        <f>M64+M65</f>
        <v>566.79999999999995</v>
      </c>
      <c r="O63" s="47">
        <f>O64+O65</f>
        <v>566.79999999999995</v>
      </c>
      <c r="P63" s="30"/>
      <c r="Q63" s="47">
        <f>Q64+Q65</f>
        <v>566.79999999999995</v>
      </c>
      <c r="S63" s="47">
        <f>S64+S65</f>
        <v>566.79999999999995</v>
      </c>
      <c r="V63" s="47">
        <f>V64+V65</f>
        <v>566.79999999999995</v>
      </c>
      <c r="X63" s="47">
        <f>X64+X65</f>
        <v>559.19999999999993</v>
      </c>
      <c r="Z63" s="47">
        <f>Z64+Z65</f>
        <v>559.19999999999993</v>
      </c>
      <c r="AA63" s="47">
        <f>AA64+AA65</f>
        <v>559.20000000000005</v>
      </c>
      <c r="AB63" s="85">
        <f t="shared" si="0"/>
        <v>1.0000000000000002</v>
      </c>
    </row>
    <row r="64" spans="1:28" x14ac:dyDescent="0.25">
      <c r="A64" s="19" t="s">
        <v>217</v>
      </c>
      <c r="B64" s="40"/>
      <c r="C64" s="40" t="s">
        <v>17</v>
      </c>
      <c r="D64" s="40" t="s">
        <v>20</v>
      </c>
      <c r="E64" s="40" t="s">
        <v>236</v>
      </c>
      <c r="F64" s="40" t="s">
        <v>218</v>
      </c>
      <c r="G64" s="29">
        <v>566.79999999999995</v>
      </c>
      <c r="I64" s="47">
        <f t="shared" ref="I64:K68" si="55">G64+H64</f>
        <v>566.79999999999995</v>
      </c>
      <c r="K64" s="47">
        <f t="shared" si="55"/>
        <v>566.79999999999995</v>
      </c>
      <c r="M64" s="47">
        <f t="shared" ref="M64:M65" si="56">K64+L64</f>
        <v>566.79999999999995</v>
      </c>
      <c r="O64" s="47">
        <f t="shared" ref="O64:O65" si="57">M64+N64</f>
        <v>566.79999999999995</v>
      </c>
      <c r="P64" s="30"/>
      <c r="Q64" s="47">
        <f t="shared" ref="Q64:Q65" si="58">O64+P64</f>
        <v>566.79999999999995</v>
      </c>
      <c r="S64" s="47">
        <f t="shared" ref="S64:S65" si="59">Q64+R64</f>
        <v>566.79999999999995</v>
      </c>
      <c r="V64" s="47">
        <f>S64+U64</f>
        <v>566.79999999999995</v>
      </c>
      <c r="W64" s="30">
        <v>-7.6</v>
      </c>
      <c r="X64" s="47">
        <f>V64+W64</f>
        <v>559.19999999999993</v>
      </c>
      <c r="Z64" s="47">
        <f>X64+Y64</f>
        <v>559.19999999999993</v>
      </c>
      <c r="AA64" s="86">
        <v>559.20000000000005</v>
      </c>
      <c r="AB64" s="85">
        <f t="shared" si="0"/>
        <v>1.0000000000000002</v>
      </c>
    </row>
    <row r="65" spans="1:28" ht="14.25" customHeight="1" x14ac:dyDescent="0.25">
      <c r="A65" s="19" t="s">
        <v>219</v>
      </c>
      <c r="B65" s="40"/>
      <c r="C65" s="40" t="s">
        <v>17</v>
      </c>
      <c r="D65" s="40" t="s">
        <v>20</v>
      </c>
      <c r="E65" s="40" t="s">
        <v>236</v>
      </c>
      <c r="F65" s="40" t="s">
        <v>220</v>
      </c>
      <c r="G65" s="29"/>
      <c r="I65" s="47">
        <f t="shared" si="55"/>
        <v>0</v>
      </c>
      <c r="K65" s="47">
        <f t="shared" si="55"/>
        <v>0</v>
      </c>
      <c r="M65" s="47">
        <f t="shared" si="56"/>
        <v>0</v>
      </c>
      <c r="O65" s="47">
        <f t="shared" si="57"/>
        <v>0</v>
      </c>
      <c r="P65" s="30"/>
      <c r="Q65" s="47">
        <f t="shared" si="58"/>
        <v>0</v>
      </c>
      <c r="S65" s="47">
        <f t="shared" si="59"/>
        <v>0</v>
      </c>
      <c r="V65" s="47">
        <f>S65+U65</f>
        <v>0</v>
      </c>
      <c r="X65" s="47">
        <f>V65+W65</f>
        <v>0</v>
      </c>
      <c r="Z65" s="47">
        <f>X65+Y65</f>
        <v>0</v>
      </c>
      <c r="AA65" s="86"/>
      <c r="AB65" s="85">
        <v>0</v>
      </c>
    </row>
    <row r="66" spans="1:28" ht="14.25" customHeight="1" x14ac:dyDescent="0.25">
      <c r="A66" s="19" t="s">
        <v>221</v>
      </c>
      <c r="B66" s="40"/>
      <c r="C66" s="40" t="s">
        <v>17</v>
      </c>
      <c r="D66" s="40" t="s">
        <v>20</v>
      </c>
      <c r="E66" s="40" t="s">
        <v>236</v>
      </c>
      <c r="F66" s="40" t="s">
        <v>222</v>
      </c>
      <c r="G66" s="29">
        <f>G67+G68</f>
        <v>15.3</v>
      </c>
      <c r="I66" s="47">
        <f>I67+I68</f>
        <v>15.3</v>
      </c>
      <c r="K66" s="47">
        <f>K67+K68</f>
        <v>15.3</v>
      </c>
      <c r="M66" s="47">
        <f>M67+M68</f>
        <v>15.3</v>
      </c>
      <c r="O66" s="47">
        <f>O67+O68</f>
        <v>15.3</v>
      </c>
      <c r="P66" s="30"/>
      <c r="Q66" s="47">
        <f>Q67+Q68</f>
        <v>15.3</v>
      </c>
      <c r="S66" s="47">
        <f>S67+S68</f>
        <v>15.3</v>
      </c>
      <c r="V66" s="47">
        <f>V67+V68</f>
        <v>15.3</v>
      </c>
      <c r="X66" s="47">
        <f>X67+X68</f>
        <v>22.9</v>
      </c>
      <c r="Z66" s="47">
        <f>Z67+Z68</f>
        <v>22.9</v>
      </c>
      <c r="AA66" s="47">
        <f>AA67+AA68</f>
        <v>22.9</v>
      </c>
      <c r="AB66" s="85">
        <f t="shared" si="0"/>
        <v>1</v>
      </c>
    </row>
    <row r="67" spans="1:28" ht="17.25" customHeight="1" x14ac:dyDescent="0.25">
      <c r="A67" s="19" t="s">
        <v>223</v>
      </c>
      <c r="B67" s="40"/>
      <c r="C67" s="40" t="s">
        <v>17</v>
      </c>
      <c r="D67" s="40" t="s">
        <v>20</v>
      </c>
      <c r="E67" s="40" t="s">
        <v>236</v>
      </c>
      <c r="F67" s="40" t="s">
        <v>224</v>
      </c>
      <c r="G67" s="29">
        <v>10.3</v>
      </c>
      <c r="I67" s="47">
        <f t="shared" si="55"/>
        <v>10.3</v>
      </c>
      <c r="K67" s="47">
        <f t="shared" si="55"/>
        <v>10.3</v>
      </c>
      <c r="M67" s="47">
        <f t="shared" ref="M67:M68" si="60">K67+L67</f>
        <v>10.3</v>
      </c>
      <c r="O67" s="47">
        <f t="shared" ref="O67:O68" si="61">M67+N67</f>
        <v>10.3</v>
      </c>
      <c r="P67" s="30"/>
      <c r="Q67" s="47">
        <f t="shared" ref="Q67:Q68" si="62">O67+P67</f>
        <v>10.3</v>
      </c>
      <c r="S67" s="47">
        <f t="shared" ref="S67:S68" si="63">Q67+R67</f>
        <v>10.3</v>
      </c>
      <c r="V67" s="47">
        <f>S67+U67</f>
        <v>10.3</v>
      </c>
      <c r="W67" s="30">
        <v>6.6</v>
      </c>
      <c r="X67" s="47">
        <f>V67+W67</f>
        <v>16.899999999999999</v>
      </c>
      <c r="Z67" s="47">
        <f>X67+Y67</f>
        <v>16.899999999999999</v>
      </c>
      <c r="AA67" s="86">
        <v>16.899999999999999</v>
      </c>
      <c r="AB67" s="85">
        <f t="shared" si="0"/>
        <v>1</v>
      </c>
    </row>
    <row r="68" spans="1:28" ht="15.75" customHeight="1" x14ac:dyDescent="0.25">
      <c r="A68" s="19" t="s">
        <v>244</v>
      </c>
      <c r="B68" s="40"/>
      <c r="C68" s="40" t="s">
        <v>17</v>
      </c>
      <c r="D68" s="40" t="s">
        <v>20</v>
      </c>
      <c r="E68" s="40" t="s">
        <v>236</v>
      </c>
      <c r="F68" s="40" t="s">
        <v>225</v>
      </c>
      <c r="G68" s="29">
        <v>5</v>
      </c>
      <c r="I68" s="47">
        <f t="shared" si="55"/>
        <v>5</v>
      </c>
      <c r="K68" s="47">
        <f t="shared" si="55"/>
        <v>5</v>
      </c>
      <c r="M68" s="47">
        <f t="shared" si="60"/>
        <v>5</v>
      </c>
      <c r="O68" s="47">
        <f t="shared" si="61"/>
        <v>5</v>
      </c>
      <c r="P68" s="30"/>
      <c r="Q68" s="47">
        <f t="shared" si="62"/>
        <v>5</v>
      </c>
      <c r="S68" s="47">
        <f t="shared" si="63"/>
        <v>5</v>
      </c>
      <c r="V68" s="47">
        <f>S68+U68</f>
        <v>5</v>
      </c>
      <c r="W68" s="30">
        <v>1</v>
      </c>
      <c r="X68" s="47">
        <f>V68+W68</f>
        <v>6</v>
      </c>
      <c r="Z68" s="47">
        <f>X68+Y68</f>
        <v>6</v>
      </c>
      <c r="AA68" s="86">
        <v>6</v>
      </c>
      <c r="AB68" s="85">
        <f t="shared" si="0"/>
        <v>1</v>
      </c>
    </row>
    <row r="69" spans="1:28" ht="31.5" customHeight="1" x14ac:dyDescent="0.25">
      <c r="A69" s="42" t="s">
        <v>146</v>
      </c>
      <c r="B69" s="35"/>
      <c r="C69" s="35" t="s">
        <v>20</v>
      </c>
      <c r="D69" s="35"/>
      <c r="E69" s="35"/>
      <c r="F69" s="35"/>
      <c r="G69" s="36">
        <f>G70</f>
        <v>246.4</v>
      </c>
      <c r="I69" s="48">
        <f>I70</f>
        <v>246.4</v>
      </c>
      <c r="K69" s="48">
        <f>K70</f>
        <v>246.4</v>
      </c>
      <c r="M69" s="48">
        <f>M70</f>
        <v>261.94</v>
      </c>
      <c r="O69" s="48">
        <f>O70</f>
        <v>261.94</v>
      </c>
      <c r="P69" s="30"/>
      <c r="Q69" s="48">
        <f>Q70</f>
        <v>261.94</v>
      </c>
      <c r="S69" s="48">
        <f>S70</f>
        <v>261.94</v>
      </c>
      <c r="V69" s="48">
        <f>V70</f>
        <v>261.94</v>
      </c>
      <c r="X69" s="48">
        <f>X70</f>
        <v>261.94</v>
      </c>
      <c r="Z69" s="48">
        <f t="shared" ref="Z69:AA71" si="64">Z70</f>
        <v>261.94</v>
      </c>
      <c r="AA69" s="48">
        <f t="shared" si="64"/>
        <v>245.2</v>
      </c>
      <c r="AB69" s="87">
        <f t="shared" si="0"/>
        <v>0.93609223486294568</v>
      </c>
    </row>
    <row r="70" spans="1:28" ht="29.25" customHeight="1" x14ac:dyDescent="0.25">
      <c r="A70" s="42" t="s">
        <v>95</v>
      </c>
      <c r="B70" s="35"/>
      <c r="C70" s="35" t="s">
        <v>20</v>
      </c>
      <c r="D70" s="35" t="s">
        <v>63</v>
      </c>
      <c r="E70" s="35"/>
      <c r="F70" s="35"/>
      <c r="G70" s="36">
        <f>G71</f>
        <v>246.4</v>
      </c>
      <c r="I70" s="48">
        <f>I71</f>
        <v>246.4</v>
      </c>
      <c r="K70" s="48">
        <f>K71</f>
        <v>246.4</v>
      </c>
      <c r="M70" s="48">
        <f>M71</f>
        <v>261.94</v>
      </c>
      <c r="O70" s="48">
        <f>O71</f>
        <v>261.94</v>
      </c>
      <c r="P70" s="30"/>
      <c r="Q70" s="48">
        <f>Q71</f>
        <v>261.94</v>
      </c>
      <c r="S70" s="48">
        <f>S71</f>
        <v>261.94</v>
      </c>
      <c r="V70" s="48">
        <f>V71</f>
        <v>261.94</v>
      </c>
      <c r="X70" s="48">
        <f>X71</f>
        <v>261.94</v>
      </c>
      <c r="Z70" s="48">
        <f t="shared" si="64"/>
        <v>261.94</v>
      </c>
      <c r="AA70" s="48">
        <f t="shared" si="64"/>
        <v>245.2</v>
      </c>
      <c r="AB70" s="87">
        <f t="shared" si="0"/>
        <v>0.93609223486294568</v>
      </c>
    </row>
    <row r="71" spans="1:28" x14ac:dyDescent="0.25">
      <c r="A71" s="19" t="s">
        <v>52</v>
      </c>
      <c r="B71" s="40"/>
      <c r="C71" s="40" t="s">
        <v>20</v>
      </c>
      <c r="D71" s="40" t="s">
        <v>63</v>
      </c>
      <c r="E71" s="40" t="s">
        <v>237</v>
      </c>
      <c r="F71" s="40"/>
      <c r="G71" s="29">
        <f>G72</f>
        <v>246.4</v>
      </c>
      <c r="I71" s="47">
        <f>I72</f>
        <v>246.4</v>
      </c>
      <c r="K71" s="47">
        <f>K72</f>
        <v>246.4</v>
      </c>
      <c r="M71" s="47">
        <f>M72</f>
        <v>261.94</v>
      </c>
      <c r="O71" s="47">
        <f>O72</f>
        <v>261.94</v>
      </c>
      <c r="P71" s="30"/>
      <c r="Q71" s="47">
        <f>Q72</f>
        <v>261.94</v>
      </c>
      <c r="S71" s="47">
        <f>S72</f>
        <v>261.94</v>
      </c>
      <c r="V71" s="47">
        <f>V72</f>
        <v>261.94</v>
      </c>
      <c r="X71" s="47">
        <f>X72</f>
        <v>261.94</v>
      </c>
      <c r="Z71" s="47">
        <f t="shared" si="64"/>
        <v>261.94</v>
      </c>
      <c r="AA71" s="47">
        <f t="shared" si="64"/>
        <v>245.2</v>
      </c>
      <c r="AB71" s="85">
        <f t="shared" si="0"/>
        <v>0.93609223486294568</v>
      </c>
    </row>
    <row r="72" spans="1:28" x14ac:dyDescent="0.25">
      <c r="A72" s="19" t="s">
        <v>217</v>
      </c>
      <c r="B72" s="40"/>
      <c r="C72" s="40" t="s">
        <v>20</v>
      </c>
      <c r="D72" s="40" t="s">
        <v>63</v>
      </c>
      <c r="E72" s="40" t="s">
        <v>237</v>
      </c>
      <c r="F72" s="40" t="s">
        <v>218</v>
      </c>
      <c r="G72" s="29">
        <v>246.4</v>
      </c>
      <c r="I72" s="47">
        <f t="shared" ref="I72:K72" si="65">G72+H72</f>
        <v>246.4</v>
      </c>
      <c r="K72" s="47">
        <f t="shared" si="65"/>
        <v>246.4</v>
      </c>
      <c r="L72" s="30">
        <v>15.54</v>
      </c>
      <c r="M72" s="47">
        <f t="shared" ref="M72" si="66">K72+L72</f>
        <v>261.94</v>
      </c>
      <c r="O72" s="47">
        <f t="shared" ref="O72" si="67">M72+N72</f>
        <v>261.94</v>
      </c>
      <c r="P72" s="30"/>
      <c r="Q72" s="47">
        <f t="shared" ref="Q72" si="68">O72+P72</f>
        <v>261.94</v>
      </c>
      <c r="S72" s="47">
        <f t="shared" ref="S72" si="69">Q72+R72</f>
        <v>261.94</v>
      </c>
      <c r="V72" s="47">
        <f>S72+U72</f>
        <v>261.94</v>
      </c>
      <c r="X72" s="47">
        <f>V72+W72</f>
        <v>261.94</v>
      </c>
      <c r="Z72" s="47">
        <f>X72+Y72</f>
        <v>261.94</v>
      </c>
      <c r="AA72" s="86">
        <v>245.2</v>
      </c>
      <c r="AB72" s="85">
        <f t="shared" si="0"/>
        <v>0.93609223486294568</v>
      </c>
    </row>
    <row r="73" spans="1:28" x14ac:dyDescent="0.25">
      <c r="A73" s="42" t="s">
        <v>42</v>
      </c>
      <c r="B73" s="35"/>
      <c r="C73" s="35" t="s">
        <v>24</v>
      </c>
      <c r="D73" s="35"/>
      <c r="E73" s="35"/>
      <c r="F73" s="35"/>
      <c r="G73" s="36">
        <f>G74</f>
        <v>3951.7</v>
      </c>
      <c r="I73" s="48">
        <f>I74</f>
        <v>3951.7</v>
      </c>
      <c r="K73" s="48">
        <f>K74</f>
        <v>3951.7</v>
      </c>
      <c r="M73" s="48">
        <f>M74</f>
        <v>509.94999999999982</v>
      </c>
      <c r="O73" s="48">
        <f>O74</f>
        <v>6624.5899999999992</v>
      </c>
      <c r="P73" s="30"/>
      <c r="Q73" s="48">
        <f>Q74</f>
        <v>6624.5899999999992</v>
      </c>
      <c r="S73" s="48">
        <f>S74</f>
        <v>6624.5899999999992</v>
      </c>
      <c r="V73" s="48">
        <f>V74</f>
        <v>6624.5899999999992</v>
      </c>
      <c r="X73" s="48">
        <f>X74+X83</f>
        <v>6994.9599999999991</v>
      </c>
      <c r="Z73" s="48">
        <f>Z74+Z83</f>
        <v>7672.9</v>
      </c>
      <c r="AA73" s="48">
        <f>AA74+AA83</f>
        <v>7142.3</v>
      </c>
      <c r="AB73" s="87">
        <f t="shared" si="0"/>
        <v>0.93084752831393613</v>
      </c>
    </row>
    <row r="74" spans="1:28" x14ac:dyDescent="0.25">
      <c r="A74" s="42" t="s">
        <v>239</v>
      </c>
      <c r="B74" s="35"/>
      <c r="C74" s="35" t="s">
        <v>24</v>
      </c>
      <c r="D74" s="35" t="s">
        <v>98</v>
      </c>
      <c r="E74" s="35"/>
      <c r="F74" s="35"/>
      <c r="G74" s="36">
        <f>G80</f>
        <v>3951.7</v>
      </c>
      <c r="I74" s="48">
        <f>I80</f>
        <v>3951.7</v>
      </c>
      <c r="K74" s="48">
        <f>K80</f>
        <v>3951.7</v>
      </c>
      <c r="M74" s="48">
        <f>M80+M75+M77</f>
        <v>509.94999999999982</v>
      </c>
      <c r="O74" s="48">
        <f>O80+O75+O77</f>
        <v>6624.5899999999992</v>
      </c>
      <c r="P74" s="30"/>
      <c r="Q74" s="48">
        <f>Q80+Q75+Q77</f>
        <v>6624.5899999999992</v>
      </c>
      <c r="S74" s="48">
        <f>S80+S75+S77</f>
        <v>6624.5899999999992</v>
      </c>
      <c r="V74" s="48">
        <f>V80+V75+V77</f>
        <v>6624.5899999999992</v>
      </c>
      <c r="X74" s="48">
        <f>X80+X75+X77</f>
        <v>6624.5899999999992</v>
      </c>
      <c r="Z74" s="48">
        <f>Z80+Z75+Z77</f>
        <v>7302.53</v>
      </c>
      <c r="AA74" s="48">
        <f>AA80+AA75+AA77</f>
        <v>7111.49</v>
      </c>
      <c r="AB74" s="87">
        <f t="shared" si="0"/>
        <v>0.9738392036732475</v>
      </c>
    </row>
    <row r="75" spans="1:28" ht="43.5" customHeight="1" x14ac:dyDescent="0.25">
      <c r="A75" s="19" t="s">
        <v>479</v>
      </c>
      <c r="B75" s="40"/>
      <c r="C75" s="40" t="s">
        <v>24</v>
      </c>
      <c r="D75" s="40" t="s">
        <v>98</v>
      </c>
      <c r="E75" s="40" t="s">
        <v>453</v>
      </c>
      <c r="F75" s="40"/>
      <c r="G75" s="29"/>
      <c r="I75" s="47"/>
      <c r="K75" s="47"/>
      <c r="M75" s="47">
        <f>M76</f>
        <v>0</v>
      </c>
      <c r="O75" s="47">
        <f>O76</f>
        <v>5086.1499999999996</v>
      </c>
      <c r="P75" s="30"/>
      <c r="Q75" s="47">
        <f>Q76</f>
        <v>5086.1499999999996</v>
      </c>
      <c r="S75" s="47">
        <f>S76</f>
        <v>5086.1499999999996</v>
      </c>
      <c r="V75" s="47">
        <f>V76</f>
        <v>5086.1499999999996</v>
      </c>
      <c r="X75" s="47">
        <f>X76</f>
        <v>5086.1499999999996</v>
      </c>
      <c r="Z75" s="47">
        <f>Z76</f>
        <v>5086.1499999999996</v>
      </c>
      <c r="AA75" s="47">
        <f>AA76</f>
        <v>5086.1499999999996</v>
      </c>
      <c r="AB75" s="85">
        <f t="shared" si="0"/>
        <v>1</v>
      </c>
    </row>
    <row r="76" spans="1:28" ht="15" customHeight="1" x14ac:dyDescent="0.25">
      <c r="A76" s="19" t="s">
        <v>524</v>
      </c>
      <c r="B76" s="40"/>
      <c r="C76" s="40" t="s">
        <v>24</v>
      </c>
      <c r="D76" s="40" t="s">
        <v>98</v>
      </c>
      <c r="E76" s="40" t="s">
        <v>453</v>
      </c>
      <c r="F76" s="40" t="s">
        <v>325</v>
      </c>
      <c r="G76" s="29"/>
      <c r="I76" s="47"/>
      <c r="K76" s="47"/>
      <c r="L76" s="30">
        <f>77941.44-77941.44</f>
        <v>0</v>
      </c>
      <c r="M76" s="47">
        <f t="shared" ref="M76:M79" si="70">K76+L76</f>
        <v>0</v>
      </c>
      <c r="N76" s="30">
        <v>5086.1499999999996</v>
      </c>
      <c r="O76" s="47">
        <f t="shared" ref="O76" si="71">M76+N76</f>
        <v>5086.1499999999996</v>
      </c>
      <c r="P76" s="30"/>
      <c r="Q76" s="47">
        <f t="shared" ref="Q76" si="72">O76+P76</f>
        <v>5086.1499999999996</v>
      </c>
      <c r="S76" s="47">
        <f t="shared" ref="S76" si="73">Q76+R76</f>
        <v>5086.1499999999996</v>
      </c>
      <c r="V76" s="47">
        <f>S76+U76</f>
        <v>5086.1499999999996</v>
      </c>
      <c r="X76" s="47">
        <f>V76+W76</f>
        <v>5086.1499999999996</v>
      </c>
      <c r="Z76" s="47">
        <f>X76+Y76</f>
        <v>5086.1499999999996</v>
      </c>
      <c r="AA76" s="86">
        <v>5086.1499999999996</v>
      </c>
      <c r="AB76" s="85">
        <f t="shared" si="0"/>
        <v>1</v>
      </c>
    </row>
    <row r="77" spans="1:28" ht="44.25" customHeight="1" x14ac:dyDescent="0.25">
      <c r="A77" s="19" t="s">
        <v>479</v>
      </c>
      <c r="B77" s="40"/>
      <c r="C77" s="40" t="s">
        <v>24</v>
      </c>
      <c r="D77" s="40" t="s">
        <v>98</v>
      </c>
      <c r="E77" s="40" t="s">
        <v>454</v>
      </c>
      <c r="F77" s="40"/>
      <c r="G77" s="29"/>
      <c r="I77" s="47"/>
      <c r="K77" s="47"/>
      <c r="M77" s="47">
        <f>M79</f>
        <v>509.94999999999982</v>
      </c>
      <c r="O77" s="47">
        <f>O79+O78</f>
        <v>853.76999999999975</v>
      </c>
      <c r="P77" s="30"/>
      <c r="Q77" s="47">
        <f>Q79+Q78</f>
        <v>853.76999999999975</v>
      </c>
      <c r="S77" s="47">
        <f>S79+S78</f>
        <v>853.76999999999975</v>
      </c>
      <c r="V77" s="47">
        <f>V79+V78</f>
        <v>853.76999999999975</v>
      </c>
      <c r="X77" s="47">
        <f>X79+X78</f>
        <v>853.76999999999975</v>
      </c>
      <c r="Z77" s="47">
        <f>Z79+Z78</f>
        <v>853.76999999999975</v>
      </c>
      <c r="AA77" s="47">
        <f>AA79+AA78</f>
        <v>853.77</v>
      </c>
      <c r="AB77" s="85">
        <f t="shared" ref="AB77:AB140" si="74">AA77/Z77</f>
        <v>1.0000000000000002</v>
      </c>
    </row>
    <row r="78" spans="1:28" ht="15.75" customHeight="1" x14ac:dyDescent="0.25">
      <c r="A78" s="19" t="s">
        <v>524</v>
      </c>
      <c r="B78" s="40"/>
      <c r="C78" s="40" t="s">
        <v>24</v>
      </c>
      <c r="D78" s="40" t="s">
        <v>98</v>
      </c>
      <c r="E78" s="40" t="s">
        <v>454</v>
      </c>
      <c r="F78" s="40" t="s">
        <v>325</v>
      </c>
      <c r="G78" s="29"/>
      <c r="I78" s="47"/>
      <c r="K78" s="47"/>
      <c r="M78" s="47"/>
      <c r="N78" s="30">
        <v>343.82</v>
      </c>
      <c r="O78" s="47">
        <f t="shared" ref="O78:O79" si="75">M78+N78</f>
        <v>343.82</v>
      </c>
      <c r="P78" s="30"/>
      <c r="Q78" s="47">
        <f t="shared" ref="Q78:Q79" si="76">O78+P78</f>
        <v>343.82</v>
      </c>
      <c r="S78" s="47">
        <f t="shared" ref="S78:S79" si="77">Q78+R78</f>
        <v>343.82</v>
      </c>
      <c r="V78" s="47">
        <f>S78+U78</f>
        <v>343.82</v>
      </c>
      <c r="X78" s="47">
        <f>V78+W78</f>
        <v>343.82</v>
      </c>
      <c r="Z78" s="47">
        <f>X78+Y78</f>
        <v>343.82</v>
      </c>
      <c r="AA78" s="86">
        <v>343.82</v>
      </c>
      <c r="AB78" s="85">
        <f t="shared" si="74"/>
        <v>1</v>
      </c>
    </row>
    <row r="79" spans="1:28" ht="31.5" x14ac:dyDescent="0.25">
      <c r="A79" s="19" t="s">
        <v>480</v>
      </c>
      <c r="B79" s="40"/>
      <c r="C79" s="40" t="s">
        <v>24</v>
      </c>
      <c r="D79" s="40" t="s">
        <v>98</v>
      </c>
      <c r="E79" s="40" t="s">
        <v>454</v>
      </c>
      <c r="F79" s="40" t="s">
        <v>325</v>
      </c>
      <c r="G79" s="29"/>
      <c r="I79" s="47"/>
      <c r="K79" s="47"/>
      <c r="L79" s="30">
        <f>5778.78-5268.83</f>
        <v>509.94999999999982</v>
      </c>
      <c r="M79" s="47">
        <f t="shared" si="70"/>
        <v>509.94999999999982</v>
      </c>
      <c r="O79" s="47">
        <f t="shared" si="75"/>
        <v>509.94999999999982</v>
      </c>
      <c r="P79" s="30"/>
      <c r="Q79" s="47">
        <f t="shared" si="76"/>
        <v>509.94999999999982</v>
      </c>
      <c r="S79" s="47">
        <f t="shared" si="77"/>
        <v>509.94999999999982</v>
      </c>
      <c r="V79" s="47">
        <f>S79+U79</f>
        <v>509.94999999999982</v>
      </c>
      <c r="X79" s="47">
        <f>V79+W79</f>
        <v>509.94999999999982</v>
      </c>
      <c r="Z79" s="47">
        <f>X79+Y79</f>
        <v>509.94999999999982</v>
      </c>
      <c r="AA79" s="86">
        <v>509.95</v>
      </c>
      <c r="AB79" s="85">
        <f t="shared" si="74"/>
        <v>1.0000000000000004</v>
      </c>
    </row>
    <row r="80" spans="1:28" ht="15" customHeight="1" x14ac:dyDescent="0.25">
      <c r="A80" s="19" t="s">
        <v>392</v>
      </c>
      <c r="B80" s="40"/>
      <c r="C80" s="40" t="s">
        <v>24</v>
      </c>
      <c r="D80" s="40" t="s">
        <v>98</v>
      </c>
      <c r="E80" s="40" t="s">
        <v>238</v>
      </c>
      <c r="F80" s="40"/>
      <c r="G80" s="29">
        <f>G82</f>
        <v>3951.7</v>
      </c>
      <c r="I80" s="47">
        <f>I82</f>
        <v>3951.7</v>
      </c>
      <c r="K80" s="47">
        <f>K82</f>
        <v>3951.7</v>
      </c>
      <c r="M80" s="47">
        <f>M82</f>
        <v>0</v>
      </c>
      <c r="O80" s="47">
        <f>O82</f>
        <v>684.67000000000007</v>
      </c>
      <c r="P80" s="30"/>
      <c r="Q80" s="47">
        <f>Q82</f>
        <v>684.67000000000007</v>
      </c>
      <c r="S80" s="47">
        <f>S82</f>
        <v>684.67000000000007</v>
      </c>
      <c r="V80" s="47">
        <f>V82</f>
        <v>684.67000000000007</v>
      </c>
      <c r="X80" s="47">
        <f>X82</f>
        <v>684.67000000000007</v>
      </c>
      <c r="Z80" s="47">
        <f>Z82+Z81</f>
        <v>1362.6100000000001</v>
      </c>
      <c r="AA80" s="47">
        <f>AA82+AA81</f>
        <v>1171.5700000000002</v>
      </c>
      <c r="AB80" s="85">
        <f t="shared" si="74"/>
        <v>0.85979847498550577</v>
      </c>
    </row>
    <row r="81" spans="1:28" ht="15" customHeight="1" x14ac:dyDescent="0.25">
      <c r="A81" s="19" t="s">
        <v>244</v>
      </c>
      <c r="B81" s="40"/>
      <c r="C81" s="40" t="s">
        <v>24</v>
      </c>
      <c r="D81" s="40" t="s">
        <v>98</v>
      </c>
      <c r="E81" s="40" t="s">
        <v>238</v>
      </c>
      <c r="F81" s="40" t="s">
        <v>225</v>
      </c>
      <c r="G81" s="29"/>
      <c r="I81" s="47"/>
      <c r="K81" s="47"/>
      <c r="M81" s="47"/>
      <c r="O81" s="47"/>
      <c r="P81" s="30"/>
      <c r="Q81" s="47"/>
      <c r="S81" s="47"/>
      <c r="V81" s="47"/>
      <c r="X81" s="47"/>
      <c r="Y81" s="30">
        <v>677.94</v>
      </c>
      <c r="Z81" s="47">
        <f>X81+Y81</f>
        <v>677.94</v>
      </c>
      <c r="AA81" s="86">
        <v>625.07000000000005</v>
      </c>
      <c r="AB81" s="85">
        <f t="shared" si="74"/>
        <v>0.92201374752927989</v>
      </c>
    </row>
    <row r="82" spans="1:28" ht="30" customHeight="1" x14ac:dyDescent="0.25">
      <c r="A82" s="19" t="s">
        <v>241</v>
      </c>
      <c r="B82" s="40"/>
      <c r="C82" s="40" t="s">
        <v>24</v>
      </c>
      <c r="D82" s="40" t="s">
        <v>98</v>
      </c>
      <c r="E82" s="40" t="s">
        <v>238</v>
      </c>
      <c r="F82" s="40" t="s">
        <v>325</v>
      </c>
      <c r="G82" s="29">
        <v>3951.7</v>
      </c>
      <c r="I82" s="47">
        <f t="shared" ref="I82:K82" si="78">G82+H82</f>
        <v>3951.7</v>
      </c>
      <c r="K82" s="47">
        <f t="shared" si="78"/>
        <v>3951.7</v>
      </c>
      <c r="L82" s="30">
        <v>-3951.7</v>
      </c>
      <c r="M82" s="47">
        <f t="shared" ref="M82" si="79">K82+L82</f>
        <v>0</v>
      </c>
      <c r="N82" s="30">
        <f>515.74+168.93</f>
        <v>684.67000000000007</v>
      </c>
      <c r="O82" s="47">
        <f t="shared" ref="O82" si="80">M82+N82</f>
        <v>684.67000000000007</v>
      </c>
      <c r="P82" s="30"/>
      <c r="Q82" s="47">
        <f t="shared" ref="Q82" si="81">O82+P82</f>
        <v>684.67000000000007</v>
      </c>
      <c r="S82" s="47">
        <f t="shared" ref="S82" si="82">Q82+R82</f>
        <v>684.67000000000007</v>
      </c>
      <c r="V82" s="47">
        <f>S82+U82</f>
        <v>684.67000000000007</v>
      </c>
      <c r="X82" s="47">
        <f>V82+W82</f>
        <v>684.67000000000007</v>
      </c>
      <c r="Z82" s="47">
        <f>X82+Y82</f>
        <v>684.67000000000007</v>
      </c>
      <c r="AA82" s="86">
        <v>546.5</v>
      </c>
      <c r="AB82" s="85">
        <f t="shared" si="74"/>
        <v>0.79819475075583846</v>
      </c>
    </row>
    <row r="83" spans="1:28" ht="21" customHeight="1" x14ac:dyDescent="0.25">
      <c r="A83" s="34" t="s">
        <v>172</v>
      </c>
      <c r="B83" s="35"/>
      <c r="C83" s="35" t="s">
        <v>24</v>
      </c>
      <c r="D83" s="35" t="s">
        <v>27</v>
      </c>
      <c r="E83" s="35"/>
      <c r="F83" s="35"/>
      <c r="G83" s="36"/>
      <c r="H83" s="56"/>
      <c r="I83" s="48"/>
      <c r="J83" s="57"/>
      <c r="K83" s="48"/>
      <c r="L83" s="66"/>
      <c r="M83" s="48"/>
      <c r="N83" s="66"/>
      <c r="O83" s="48"/>
      <c r="P83" s="66"/>
      <c r="Q83" s="48"/>
      <c r="R83" s="66"/>
      <c r="S83" s="48"/>
      <c r="T83" s="83"/>
      <c r="U83" s="66"/>
      <c r="V83" s="48"/>
      <c r="W83" s="66"/>
      <c r="X83" s="48">
        <f>X84+X86</f>
        <v>370.37</v>
      </c>
      <c r="Y83" s="66"/>
      <c r="Z83" s="48">
        <f>Z84+Z86</f>
        <v>370.37</v>
      </c>
      <c r="AA83" s="48">
        <f>AA84+AA86</f>
        <v>30.81</v>
      </c>
      <c r="AB83" s="87">
        <f t="shared" si="74"/>
        <v>8.3187083187083177E-2</v>
      </c>
    </row>
    <row r="84" spans="1:28" ht="30" customHeight="1" x14ac:dyDescent="0.25">
      <c r="A84" s="19" t="s">
        <v>337</v>
      </c>
      <c r="B84" s="40"/>
      <c r="C84" s="40" t="s">
        <v>24</v>
      </c>
      <c r="D84" s="40" t="s">
        <v>27</v>
      </c>
      <c r="E84" s="40" t="s">
        <v>633</v>
      </c>
      <c r="F84" s="40"/>
      <c r="G84" s="29"/>
      <c r="I84" s="47"/>
      <c r="K84" s="47"/>
      <c r="M84" s="47"/>
      <c r="O84" s="47"/>
      <c r="P84" s="30"/>
      <c r="Q84" s="47"/>
      <c r="S84" s="47"/>
      <c r="V84" s="47"/>
      <c r="X84" s="47">
        <f>X85</f>
        <v>70.37</v>
      </c>
      <c r="Z84" s="47">
        <f>Z85</f>
        <v>70.37</v>
      </c>
      <c r="AA84" s="47">
        <f>AA85</f>
        <v>30.81</v>
      </c>
      <c r="AB84" s="85">
        <f t="shared" si="74"/>
        <v>0.43782862015063234</v>
      </c>
    </row>
    <row r="85" spans="1:28" ht="17.25" customHeight="1" x14ac:dyDescent="0.25">
      <c r="A85" s="19" t="s">
        <v>244</v>
      </c>
      <c r="B85" s="40"/>
      <c r="C85" s="40" t="s">
        <v>24</v>
      </c>
      <c r="D85" s="40" t="s">
        <v>27</v>
      </c>
      <c r="E85" s="40" t="s">
        <v>633</v>
      </c>
      <c r="F85" s="40" t="s">
        <v>225</v>
      </c>
      <c r="G85" s="29"/>
      <c r="I85" s="47"/>
      <c r="K85" s="47"/>
      <c r="M85" s="47"/>
      <c r="O85" s="47"/>
      <c r="P85" s="30"/>
      <c r="Q85" s="47"/>
      <c r="S85" s="47"/>
      <c r="V85" s="47"/>
      <c r="W85" s="30">
        <v>70.37</v>
      </c>
      <c r="X85" s="47">
        <f>V85+W85</f>
        <v>70.37</v>
      </c>
      <c r="Z85" s="47">
        <f>X85+Y85</f>
        <v>70.37</v>
      </c>
      <c r="AA85" s="86">
        <v>30.81</v>
      </c>
      <c r="AB85" s="85">
        <f t="shared" si="74"/>
        <v>0.43782862015063234</v>
      </c>
    </row>
    <row r="86" spans="1:28" ht="30" customHeight="1" x14ac:dyDescent="0.25">
      <c r="A86" s="19" t="s">
        <v>337</v>
      </c>
      <c r="B86" s="40"/>
      <c r="C86" s="40" t="s">
        <v>24</v>
      </c>
      <c r="D86" s="40" t="s">
        <v>27</v>
      </c>
      <c r="E86" s="40" t="s">
        <v>336</v>
      </c>
      <c r="F86" s="40"/>
      <c r="G86" s="29"/>
      <c r="I86" s="47"/>
      <c r="K86" s="47"/>
      <c r="M86" s="47"/>
      <c r="O86" s="47"/>
      <c r="P86" s="30"/>
      <c r="Q86" s="47"/>
      <c r="S86" s="47"/>
      <c r="V86" s="47"/>
      <c r="X86" s="47">
        <f>X87</f>
        <v>300</v>
      </c>
      <c r="Z86" s="47">
        <f>Z87</f>
        <v>300</v>
      </c>
      <c r="AA86" s="47">
        <f>AA87</f>
        <v>0</v>
      </c>
      <c r="AB86" s="85">
        <f t="shared" si="74"/>
        <v>0</v>
      </c>
    </row>
    <row r="87" spans="1:28" ht="18.75" customHeight="1" x14ac:dyDescent="0.25">
      <c r="A87" s="19" t="s">
        <v>244</v>
      </c>
      <c r="B87" s="40"/>
      <c r="C87" s="40" t="s">
        <v>24</v>
      </c>
      <c r="D87" s="40" t="s">
        <v>27</v>
      </c>
      <c r="E87" s="40" t="s">
        <v>336</v>
      </c>
      <c r="F87" s="40" t="s">
        <v>225</v>
      </c>
      <c r="G87" s="29"/>
      <c r="I87" s="47"/>
      <c r="K87" s="47"/>
      <c r="M87" s="47"/>
      <c r="O87" s="47"/>
      <c r="P87" s="30"/>
      <c r="Q87" s="47"/>
      <c r="S87" s="47"/>
      <c r="V87" s="47"/>
      <c r="W87" s="30">
        <v>300</v>
      </c>
      <c r="X87" s="47">
        <f>V87+W87</f>
        <v>300</v>
      </c>
      <c r="Z87" s="47">
        <f>X87+Y87</f>
        <v>300</v>
      </c>
      <c r="AA87" s="86">
        <v>0</v>
      </c>
      <c r="AB87" s="85">
        <f t="shared" si="74"/>
        <v>0</v>
      </c>
    </row>
    <row r="88" spans="1:28" ht="15" customHeight="1" x14ac:dyDescent="0.25">
      <c r="A88" s="42" t="s">
        <v>45</v>
      </c>
      <c r="B88" s="35"/>
      <c r="C88" s="35" t="s">
        <v>46</v>
      </c>
      <c r="D88" s="35"/>
      <c r="E88" s="35"/>
      <c r="F88" s="35"/>
      <c r="G88" s="36">
        <f>G105</f>
        <v>384</v>
      </c>
      <c r="I88" s="48">
        <f>I105</f>
        <v>631.79999999999995</v>
      </c>
      <c r="K88" s="48">
        <f>K105+K93</f>
        <v>822.14</v>
      </c>
      <c r="M88" s="48">
        <f>M105+M93+M89+M100</f>
        <v>5230.3099999999995</v>
      </c>
      <c r="O88" s="48">
        <f>O105+O93+O89+O100</f>
        <v>5043.87</v>
      </c>
      <c r="P88" s="30"/>
      <c r="Q88" s="48">
        <f>Q105+Q93+Q89+Q100</f>
        <v>6843.869999999999</v>
      </c>
      <c r="S88" s="48">
        <f>S105+S93+S89+S100</f>
        <v>8171.2699999999995</v>
      </c>
      <c r="V88" s="48">
        <f>V105+V93+V89+V100</f>
        <v>8171.2699999999995</v>
      </c>
      <c r="X88" s="48">
        <f>X105+X93+X89+X100</f>
        <v>8171.2699999999995</v>
      </c>
      <c r="Z88" s="48">
        <f>Z105+Z93+Z89+Z100</f>
        <v>7870.51</v>
      </c>
      <c r="AA88" s="48">
        <f>AA105+AA93+AA89+AA100</f>
        <v>4971.08</v>
      </c>
      <c r="AB88" s="87">
        <f t="shared" si="74"/>
        <v>0.6316083709950181</v>
      </c>
    </row>
    <row r="89" spans="1:28" ht="16.5" customHeight="1" x14ac:dyDescent="0.25">
      <c r="A89" s="42" t="s">
        <v>492</v>
      </c>
      <c r="B89" s="35"/>
      <c r="C89" s="35" t="s">
        <v>46</v>
      </c>
      <c r="D89" s="35" t="s">
        <v>15</v>
      </c>
      <c r="E89" s="35"/>
      <c r="F89" s="35"/>
      <c r="G89" s="36"/>
      <c r="I89" s="48"/>
      <c r="K89" s="48"/>
      <c r="M89" s="48">
        <f>M90</f>
        <v>1686.44</v>
      </c>
      <c r="O89" s="48">
        <f>O90</f>
        <v>1300</v>
      </c>
      <c r="P89" s="30"/>
      <c r="Q89" s="48">
        <f>Q90</f>
        <v>3100</v>
      </c>
      <c r="S89" s="48">
        <f>S90</f>
        <v>3100</v>
      </c>
      <c r="V89" s="48">
        <f>V90</f>
        <v>3100</v>
      </c>
      <c r="X89" s="48">
        <f>X90</f>
        <v>3100</v>
      </c>
      <c r="Z89" s="48">
        <f>Z90</f>
        <v>2500</v>
      </c>
      <c r="AA89" s="48">
        <f>AA90</f>
        <v>1300</v>
      </c>
      <c r="AB89" s="87">
        <f t="shared" si="74"/>
        <v>0.52</v>
      </c>
    </row>
    <row r="90" spans="1:28" ht="16.5" customHeight="1" x14ac:dyDescent="0.25">
      <c r="A90" s="19" t="s">
        <v>493</v>
      </c>
      <c r="B90" s="40"/>
      <c r="C90" s="40" t="s">
        <v>46</v>
      </c>
      <c r="D90" s="40" t="s">
        <v>15</v>
      </c>
      <c r="E90" s="40" t="s">
        <v>488</v>
      </c>
      <c r="F90" s="40"/>
      <c r="G90" s="29"/>
      <c r="I90" s="47"/>
      <c r="K90" s="47"/>
      <c r="M90" s="47">
        <f>M91</f>
        <v>1686.44</v>
      </c>
      <c r="O90" s="47">
        <f>O91</f>
        <v>1300</v>
      </c>
      <c r="P90" s="30"/>
      <c r="Q90" s="47">
        <f>Q91+Q92</f>
        <v>3100</v>
      </c>
      <c r="S90" s="47">
        <f>S91+S92</f>
        <v>3100</v>
      </c>
      <c r="V90" s="47">
        <f>V91+V92</f>
        <v>3100</v>
      </c>
      <c r="X90" s="47">
        <f>X91+X92</f>
        <v>3100</v>
      </c>
      <c r="Z90" s="47">
        <f>Z91+Z92</f>
        <v>2500</v>
      </c>
      <c r="AA90" s="47">
        <f>AA91+AA92</f>
        <v>1300</v>
      </c>
      <c r="AB90" s="85">
        <f t="shared" si="74"/>
        <v>0.52</v>
      </c>
    </row>
    <row r="91" spans="1:28" ht="33" customHeight="1" x14ac:dyDescent="0.25">
      <c r="A91" s="19" t="s">
        <v>494</v>
      </c>
      <c r="B91" s="40"/>
      <c r="C91" s="40" t="s">
        <v>46</v>
      </c>
      <c r="D91" s="40" t="s">
        <v>15</v>
      </c>
      <c r="E91" s="40" t="s">
        <v>488</v>
      </c>
      <c r="F91" s="40" t="s">
        <v>225</v>
      </c>
      <c r="G91" s="29"/>
      <c r="I91" s="47"/>
      <c r="K91" s="47"/>
      <c r="L91" s="30">
        <v>1686.44</v>
      </c>
      <c r="M91" s="47">
        <f>L91+K91</f>
        <v>1686.44</v>
      </c>
      <c r="N91" s="30">
        <v>-386.44</v>
      </c>
      <c r="O91" s="47">
        <f>N91+M91</f>
        <v>1300</v>
      </c>
      <c r="P91" s="30"/>
      <c r="Q91" s="47">
        <f>P91+O91</f>
        <v>1300</v>
      </c>
      <c r="S91" s="47">
        <f>R91+Q91</f>
        <v>1300</v>
      </c>
      <c r="V91" s="47">
        <f>U91+S91</f>
        <v>1300</v>
      </c>
      <c r="X91" s="47">
        <f>W91+V91</f>
        <v>1300</v>
      </c>
      <c r="Z91" s="47">
        <f>Y91+X91</f>
        <v>1300</v>
      </c>
      <c r="AA91" s="86">
        <v>1300</v>
      </c>
      <c r="AB91" s="85">
        <f t="shared" si="74"/>
        <v>1</v>
      </c>
    </row>
    <row r="92" spans="1:28" ht="64.5" customHeight="1" x14ac:dyDescent="0.25">
      <c r="A92" s="19" t="s">
        <v>568</v>
      </c>
      <c r="B92" s="40"/>
      <c r="C92" s="40" t="s">
        <v>46</v>
      </c>
      <c r="D92" s="40" t="s">
        <v>15</v>
      </c>
      <c r="E92" s="40" t="s">
        <v>488</v>
      </c>
      <c r="F92" s="40" t="s">
        <v>259</v>
      </c>
      <c r="G92" s="29"/>
      <c r="I92" s="47"/>
      <c r="K92" s="47"/>
      <c r="M92" s="47"/>
      <c r="O92" s="47"/>
      <c r="P92" s="30">
        <v>1800</v>
      </c>
      <c r="Q92" s="47">
        <f>P92+O92</f>
        <v>1800</v>
      </c>
      <c r="S92" s="47">
        <f>R92+Q92</f>
        <v>1800</v>
      </c>
      <c r="V92" s="47">
        <f>U92+S92</f>
        <v>1800</v>
      </c>
      <c r="X92" s="47">
        <f>W92+V92</f>
        <v>1800</v>
      </c>
      <c r="Y92" s="30">
        <v>-600</v>
      </c>
      <c r="Z92" s="47">
        <f>Y92+X92</f>
        <v>1200</v>
      </c>
      <c r="AA92" s="86">
        <v>0</v>
      </c>
      <c r="AB92" s="85">
        <f t="shared" si="74"/>
        <v>0</v>
      </c>
    </row>
    <row r="93" spans="1:28" ht="16.5" customHeight="1" x14ac:dyDescent="0.25">
      <c r="A93" s="42" t="s">
        <v>47</v>
      </c>
      <c r="B93" s="35"/>
      <c r="C93" s="35" t="s">
        <v>46</v>
      </c>
      <c r="D93" s="35" t="s">
        <v>17</v>
      </c>
      <c r="E93" s="35"/>
      <c r="F93" s="35"/>
      <c r="G93" s="36"/>
      <c r="H93" s="56"/>
      <c r="I93" s="48"/>
      <c r="J93" s="57"/>
      <c r="K93" s="48">
        <f>K94</f>
        <v>65.84</v>
      </c>
      <c r="L93" s="66"/>
      <c r="M93" s="48">
        <f>M94</f>
        <v>65.84</v>
      </c>
      <c r="N93" s="66"/>
      <c r="O93" s="48">
        <f>O94</f>
        <v>65.84</v>
      </c>
      <c r="P93" s="66"/>
      <c r="Q93" s="48">
        <f>Q94</f>
        <v>65.84</v>
      </c>
      <c r="R93" s="66"/>
      <c r="S93" s="48">
        <f>S94+S96</f>
        <v>1616.1399999999999</v>
      </c>
      <c r="U93" s="66"/>
      <c r="V93" s="48">
        <f>V94+V96</f>
        <v>1616.1399999999999</v>
      </c>
      <c r="W93" s="66"/>
      <c r="X93" s="48">
        <f>X94+X96</f>
        <v>1616.1399999999999</v>
      </c>
      <c r="Y93" s="66"/>
      <c r="Z93" s="48">
        <f>Z94+Z96+Z98</f>
        <v>1850.58</v>
      </c>
      <c r="AA93" s="48">
        <f>AA94+AA96+AA98</f>
        <v>300.27999999999997</v>
      </c>
      <c r="AB93" s="87">
        <f t="shared" si="74"/>
        <v>0.16226264198251358</v>
      </c>
    </row>
    <row r="94" spans="1:28" ht="16.5" customHeight="1" x14ac:dyDescent="0.25">
      <c r="A94" s="19" t="s">
        <v>430</v>
      </c>
      <c r="B94" s="40"/>
      <c r="C94" s="40" t="s">
        <v>46</v>
      </c>
      <c r="D94" s="40" t="s">
        <v>17</v>
      </c>
      <c r="E94" s="40" t="s">
        <v>374</v>
      </c>
      <c r="F94" s="40"/>
      <c r="G94" s="29"/>
      <c r="I94" s="47"/>
      <c r="K94" s="47">
        <f>K95</f>
        <v>65.84</v>
      </c>
      <c r="M94" s="47">
        <f>M95</f>
        <v>65.84</v>
      </c>
      <c r="O94" s="47">
        <f>O95</f>
        <v>65.84</v>
      </c>
      <c r="P94" s="30"/>
      <c r="Q94" s="47">
        <f>Q95</f>
        <v>65.84</v>
      </c>
      <c r="S94" s="47">
        <f>S95</f>
        <v>65.84</v>
      </c>
      <c r="V94" s="47">
        <f>V95</f>
        <v>65.84</v>
      </c>
      <c r="X94" s="47">
        <f>X95</f>
        <v>65.84</v>
      </c>
      <c r="Z94" s="47">
        <f>Z95</f>
        <v>65.84</v>
      </c>
      <c r="AA94" s="47">
        <f>AA95</f>
        <v>65.84</v>
      </c>
      <c r="AB94" s="85">
        <f t="shared" si="74"/>
        <v>1</v>
      </c>
    </row>
    <row r="95" spans="1:28" ht="20.25" customHeight="1" x14ac:dyDescent="0.25">
      <c r="A95" s="19" t="s">
        <v>244</v>
      </c>
      <c r="B95" s="40"/>
      <c r="C95" s="40" t="s">
        <v>46</v>
      </c>
      <c r="D95" s="40" t="s">
        <v>17</v>
      </c>
      <c r="E95" s="40" t="s">
        <v>374</v>
      </c>
      <c r="F95" s="40" t="s">
        <v>225</v>
      </c>
      <c r="G95" s="29"/>
      <c r="I95" s="47"/>
      <c r="J95" s="28">
        <v>65.84</v>
      </c>
      <c r="K95" s="47">
        <f t="shared" ref="K95" si="83">I95+J95</f>
        <v>65.84</v>
      </c>
      <c r="M95" s="47">
        <f t="shared" ref="M95" si="84">K95+L95</f>
        <v>65.84</v>
      </c>
      <c r="O95" s="47">
        <f t="shared" ref="O95" si="85">M95+N95</f>
        <v>65.84</v>
      </c>
      <c r="P95" s="30"/>
      <c r="Q95" s="47">
        <f t="shared" ref="Q95" si="86">O95+P95</f>
        <v>65.84</v>
      </c>
      <c r="S95" s="47">
        <f t="shared" ref="S95" si="87">Q95+R95</f>
        <v>65.84</v>
      </c>
      <c r="V95" s="47">
        <f>S95+U95</f>
        <v>65.84</v>
      </c>
      <c r="X95" s="47">
        <f>V95+W95</f>
        <v>65.84</v>
      </c>
      <c r="Z95" s="47">
        <f>X95+Y95</f>
        <v>65.84</v>
      </c>
      <c r="AA95" s="86">
        <v>65.84</v>
      </c>
      <c r="AB95" s="85">
        <f t="shared" si="74"/>
        <v>1</v>
      </c>
    </row>
    <row r="96" spans="1:28" ht="48" customHeight="1" x14ac:dyDescent="0.25">
      <c r="A96" s="19" t="s">
        <v>609</v>
      </c>
      <c r="B96" s="40"/>
      <c r="C96" s="40" t="s">
        <v>46</v>
      </c>
      <c r="D96" s="40" t="s">
        <v>17</v>
      </c>
      <c r="E96" s="40" t="s">
        <v>610</v>
      </c>
      <c r="F96" s="40"/>
      <c r="G96" s="29"/>
      <c r="I96" s="47"/>
      <c r="K96" s="47"/>
      <c r="M96" s="47"/>
      <c r="O96" s="47"/>
      <c r="P96" s="30"/>
      <c r="Q96" s="47"/>
      <c r="S96" s="47">
        <f>S97</f>
        <v>1550.3</v>
      </c>
      <c r="V96" s="47">
        <f>V97</f>
        <v>1550.3</v>
      </c>
      <c r="X96" s="47">
        <f>X97</f>
        <v>1550.3</v>
      </c>
      <c r="Z96" s="47">
        <f>Z97</f>
        <v>1550.3</v>
      </c>
      <c r="AA96" s="86"/>
      <c r="AB96" s="85">
        <f t="shared" si="74"/>
        <v>0</v>
      </c>
    </row>
    <row r="97" spans="1:29" ht="22.5" customHeight="1" x14ac:dyDescent="0.25">
      <c r="A97" s="19" t="s">
        <v>244</v>
      </c>
      <c r="B97" s="40"/>
      <c r="C97" s="40" t="s">
        <v>46</v>
      </c>
      <c r="D97" s="40" t="s">
        <v>17</v>
      </c>
      <c r="E97" s="40" t="s">
        <v>610</v>
      </c>
      <c r="F97" s="40" t="s">
        <v>225</v>
      </c>
      <c r="G97" s="29"/>
      <c r="I97" s="47"/>
      <c r="K97" s="47"/>
      <c r="M97" s="47"/>
      <c r="O97" s="47"/>
      <c r="P97" s="30"/>
      <c r="Q97" s="47"/>
      <c r="R97" s="30">
        <v>1550.3</v>
      </c>
      <c r="S97" s="47">
        <f>R97+Q97</f>
        <v>1550.3</v>
      </c>
      <c r="V97" s="47">
        <f>U97+S97</f>
        <v>1550.3</v>
      </c>
      <c r="X97" s="47">
        <f>W97+V97</f>
        <v>1550.3</v>
      </c>
      <c r="Z97" s="47">
        <f>Y97+X97</f>
        <v>1550.3</v>
      </c>
      <c r="AA97" s="86">
        <v>0</v>
      </c>
      <c r="AB97" s="85">
        <f t="shared" si="74"/>
        <v>0</v>
      </c>
    </row>
    <row r="98" spans="1:29" ht="29.25" customHeight="1" x14ac:dyDescent="0.25">
      <c r="A98" s="43" t="s">
        <v>482</v>
      </c>
      <c r="B98" s="40"/>
      <c r="C98" s="40" t="s">
        <v>46</v>
      </c>
      <c r="D98" s="40" t="s">
        <v>17</v>
      </c>
      <c r="E98" s="40" t="s">
        <v>330</v>
      </c>
      <c r="F98" s="40"/>
      <c r="G98" s="29"/>
      <c r="I98" s="47"/>
      <c r="K98" s="47"/>
      <c r="M98" s="47"/>
      <c r="O98" s="47"/>
      <c r="P98" s="30"/>
      <c r="Q98" s="47"/>
      <c r="S98" s="47"/>
      <c r="V98" s="47"/>
      <c r="X98" s="47"/>
      <c r="Z98" s="47">
        <f>Z99</f>
        <v>234.44</v>
      </c>
      <c r="AA98" s="47">
        <f>AA99</f>
        <v>234.44</v>
      </c>
      <c r="AB98" s="85">
        <f t="shared" si="74"/>
        <v>1</v>
      </c>
    </row>
    <row r="99" spans="1:29" ht="22.5" customHeight="1" x14ac:dyDescent="0.25">
      <c r="A99" s="19" t="s">
        <v>244</v>
      </c>
      <c r="B99" s="40"/>
      <c r="C99" s="40" t="s">
        <v>46</v>
      </c>
      <c r="D99" s="40" t="s">
        <v>17</v>
      </c>
      <c r="E99" s="40" t="s">
        <v>330</v>
      </c>
      <c r="F99" s="40" t="s">
        <v>225</v>
      </c>
      <c r="G99" s="29"/>
      <c r="I99" s="47"/>
      <c r="K99" s="47"/>
      <c r="M99" s="47"/>
      <c r="O99" s="47"/>
      <c r="P99" s="30"/>
      <c r="Q99" s="47"/>
      <c r="S99" s="47"/>
      <c r="V99" s="47"/>
      <c r="X99" s="47"/>
      <c r="Y99" s="30">
        <v>166.1</v>
      </c>
      <c r="Z99" s="47">
        <f>X99+Y99+68.34</f>
        <v>234.44</v>
      </c>
      <c r="AA99" s="86">
        <v>234.44</v>
      </c>
      <c r="AB99" s="85">
        <f t="shared" si="74"/>
        <v>1</v>
      </c>
      <c r="AC99" s="50">
        <v>68.34</v>
      </c>
    </row>
    <row r="100" spans="1:29" ht="16.5" customHeight="1" x14ac:dyDescent="0.25">
      <c r="A100" s="42" t="s">
        <v>48</v>
      </c>
      <c r="B100" s="40"/>
      <c r="C100" s="35" t="s">
        <v>46</v>
      </c>
      <c r="D100" s="35" t="s">
        <v>20</v>
      </c>
      <c r="E100" s="35"/>
      <c r="F100" s="35"/>
      <c r="G100" s="36"/>
      <c r="H100" s="56"/>
      <c r="I100" s="48"/>
      <c r="J100" s="57"/>
      <c r="K100" s="48"/>
      <c r="L100" s="66"/>
      <c r="M100" s="48">
        <f>M101</f>
        <v>2393.9</v>
      </c>
      <c r="N100" s="66"/>
      <c r="O100" s="48">
        <f>O101+O103</f>
        <v>2593.9</v>
      </c>
      <c r="P100" s="66"/>
      <c r="Q100" s="48">
        <f>Q101+Q103</f>
        <v>2593.9</v>
      </c>
      <c r="R100" s="66"/>
      <c r="S100" s="48">
        <f>S101+S103</f>
        <v>2371</v>
      </c>
      <c r="U100" s="66"/>
      <c r="V100" s="48">
        <f>V101+V103</f>
        <v>2371</v>
      </c>
      <c r="W100" s="66"/>
      <c r="X100" s="48">
        <f>X101+X103</f>
        <v>2371</v>
      </c>
      <c r="Y100" s="66"/>
      <c r="Z100" s="48">
        <f>Z101+Z103</f>
        <v>2371</v>
      </c>
      <c r="AA100" s="48">
        <f>AA101+AA103</f>
        <v>2270</v>
      </c>
      <c r="AB100" s="87">
        <f t="shared" si="74"/>
        <v>0.9574019401096584</v>
      </c>
    </row>
    <row r="101" spans="1:29" ht="16.5" customHeight="1" x14ac:dyDescent="0.25">
      <c r="A101" s="19" t="s">
        <v>496</v>
      </c>
      <c r="B101" s="40"/>
      <c r="C101" s="40" t="s">
        <v>46</v>
      </c>
      <c r="D101" s="40" t="s">
        <v>20</v>
      </c>
      <c r="E101" s="40" t="s">
        <v>495</v>
      </c>
      <c r="F101" s="40"/>
      <c r="G101" s="29"/>
      <c r="I101" s="47"/>
      <c r="K101" s="47"/>
      <c r="M101" s="47">
        <f>M102</f>
        <v>2393.9</v>
      </c>
      <c r="O101" s="47">
        <f>O102</f>
        <v>2393.9</v>
      </c>
      <c r="P101" s="30"/>
      <c r="Q101" s="47">
        <f>Q102</f>
        <v>2393.9</v>
      </c>
      <c r="S101" s="47">
        <f>S102</f>
        <v>2171</v>
      </c>
      <c r="V101" s="47">
        <f>V102</f>
        <v>2171</v>
      </c>
      <c r="X101" s="47">
        <f>X102</f>
        <v>2171</v>
      </c>
      <c r="Z101" s="47">
        <f>Z102</f>
        <v>2171</v>
      </c>
      <c r="AA101" s="47">
        <f>AA102</f>
        <v>2171</v>
      </c>
      <c r="AB101" s="85">
        <f t="shared" si="74"/>
        <v>1</v>
      </c>
    </row>
    <row r="102" spans="1:29" ht="16.5" customHeight="1" x14ac:dyDescent="0.25">
      <c r="A102" s="19" t="s">
        <v>244</v>
      </c>
      <c r="B102" s="40"/>
      <c r="C102" s="40" t="s">
        <v>46</v>
      </c>
      <c r="D102" s="40" t="s">
        <v>20</v>
      </c>
      <c r="E102" s="40" t="s">
        <v>495</v>
      </c>
      <c r="F102" s="40" t="s">
        <v>225</v>
      </c>
      <c r="G102" s="29"/>
      <c r="I102" s="47"/>
      <c r="K102" s="47"/>
      <c r="L102" s="30">
        <v>2393.9</v>
      </c>
      <c r="M102" s="47">
        <f t="shared" ref="M102" si="88">K102+L102</f>
        <v>2393.9</v>
      </c>
      <c r="O102" s="47">
        <f t="shared" ref="O102" si="89">M102+N102</f>
        <v>2393.9</v>
      </c>
      <c r="P102" s="30"/>
      <c r="Q102" s="47">
        <f t="shared" ref="Q102" si="90">O102+P102</f>
        <v>2393.9</v>
      </c>
      <c r="R102" s="30">
        <v>-222.9</v>
      </c>
      <c r="S102" s="47">
        <f t="shared" ref="S102" si="91">Q102+R102</f>
        <v>2171</v>
      </c>
      <c r="T102" s="70">
        <v>-222.9</v>
      </c>
      <c r="V102" s="47">
        <f>S102+U102</f>
        <v>2171</v>
      </c>
      <c r="X102" s="47">
        <f>V102+W102</f>
        <v>2171</v>
      </c>
      <c r="Z102" s="47">
        <f>X102+Y102</f>
        <v>2171</v>
      </c>
      <c r="AA102" s="86">
        <v>2171</v>
      </c>
      <c r="AB102" s="85">
        <f t="shared" si="74"/>
        <v>1</v>
      </c>
    </row>
    <row r="103" spans="1:29" ht="16.5" customHeight="1" x14ac:dyDescent="0.25">
      <c r="A103" s="19" t="s">
        <v>534</v>
      </c>
      <c r="B103" s="40"/>
      <c r="C103" s="40" t="s">
        <v>46</v>
      </c>
      <c r="D103" s="40" t="s">
        <v>20</v>
      </c>
      <c r="E103" s="40" t="s">
        <v>535</v>
      </c>
      <c r="F103" s="40"/>
      <c r="G103" s="29"/>
      <c r="I103" s="47"/>
      <c r="K103" s="47"/>
      <c r="M103" s="47"/>
      <c r="O103" s="47">
        <f>O104</f>
        <v>200</v>
      </c>
      <c r="P103" s="30"/>
      <c r="Q103" s="47">
        <f>Q104</f>
        <v>200</v>
      </c>
      <c r="S103" s="47">
        <f>S104</f>
        <v>200</v>
      </c>
      <c r="V103" s="47">
        <f>V104</f>
        <v>200</v>
      </c>
      <c r="X103" s="47">
        <f>X104</f>
        <v>200</v>
      </c>
      <c r="Z103" s="47">
        <f>Z104</f>
        <v>200</v>
      </c>
      <c r="AA103" s="47">
        <f>AA104</f>
        <v>99</v>
      </c>
      <c r="AB103" s="85">
        <f t="shared" si="74"/>
        <v>0.495</v>
      </c>
    </row>
    <row r="104" spans="1:29" ht="16.5" customHeight="1" x14ac:dyDescent="0.25">
      <c r="A104" s="19" t="s">
        <v>244</v>
      </c>
      <c r="B104" s="40"/>
      <c r="C104" s="40" t="s">
        <v>46</v>
      </c>
      <c r="D104" s="40" t="s">
        <v>20</v>
      </c>
      <c r="E104" s="40" t="s">
        <v>535</v>
      </c>
      <c r="F104" s="40" t="s">
        <v>225</v>
      </c>
      <c r="G104" s="29"/>
      <c r="I104" s="47"/>
      <c r="K104" s="47"/>
      <c r="M104" s="47"/>
      <c r="N104" s="30">
        <v>200</v>
      </c>
      <c r="O104" s="47">
        <f t="shared" ref="O104" si="92">M104+N104</f>
        <v>200</v>
      </c>
      <c r="P104" s="30"/>
      <c r="Q104" s="47">
        <f t="shared" ref="Q104" si="93">O104+P104</f>
        <v>200</v>
      </c>
      <c r="S104" s="47">
        <f t="shared" ref="S104" si="94">Q104+R104</f>
        <v>200</v>
      </c>
      <c r="V104" s="47">
        <f>S104+U104</f>
        <v>200</v>
      </c>
      <c r="X104" s="47">
        <f>V104+W104</f>
        <v>200</v>
      </c>
      <c r="Z104" s="47">
        <f>X104+Y104</f>
        <v>200</v>
      </c>
      <c r="AA104" s="86">
        <v>99</v>
      </c>
      <c r="AB104" s="85">
        <f t="shared" si="74"/>
        <v>0.495</v>
      </c>
    </row>
    <row r="105" spans="1:29" ht="17.25" customHeight="1" x14ac:dyDescent="0.25">
      <c r="A105" s="42" t="s">
        <v>51</v>
      </c>
      <c r="B105" s="35"/>
      <c r="C105" s="35" t="s">
        <v>46</v>
      </c>
      <c r="D105" s="35" t="s">
        <v>46</v>
      </c>
      <c r="E105" s="35"/>
      <c r="F105" s="35"/>
      <c r="G105" s="36">
        <f>G106</f>
        <v>384</v>
      </c>
      <c r="I105" s="48">
        <f>I106</f>
        <v>631.79999999999995</v>
      </c>
      <c r="K105" s="48">
        <f>K106</f>
        <v>756.3</v>
      </c>
      <c r="M105" s="48">
        <f>M106</f>
        <v>1084.1299999999999</v>
      </c>
      <c r="O105" s="48">
        <f>O106</f>
        <v>1084.1299999999999</v>
      </c>
      <c r="P105" s="30"/>
      <c r="Q105" s="48">
        <f>Q106</f>
        <v>1084.1299999999999</v>
      </c>
      <c r="S105" s="48">
        <f>S106</f>
        <v>1084.1299999999999</v>
      </c>
      <c r="V105" s="48">
        <f>V106</f>
        <v>1084.1299999999999</v>
      </c>
      <c r="X105" s="48">
        <f>X106</f>
        <v>1084.1299999999999</v>
      </c>
      <c r="Z105" s="48">
        <f>Z106</f>
        <v>1148.9299999999998</v>
      </c>
      <c r="AA105" s="48">
        <f>AA106</f>
        <v>1100.8</v>
      </c>
      <c r="AB105" s="87">
        <f t="shared" si="74"/>
        <v>0.95810884910307859</v>
      </c>
    </row>
    <row r="106" spans="1:29" x14ac:dyDescent="0.25">
      <c r="A106" s="19" t="s">
        <v>242</v>
      </c>
      <c r="B106" s="40"/>
      <c r="C106" s="40" t="s">
        <v>46</v>
      </c>
      <c r="D106" s="40" t="s">
        <v>46</v>
      </c>
      <c r="E106" s="40" t="s">
        <v>240</v>
      </c>
      <c r="F106" s="40"/>
      <c r="G106" s="29">
        <f>G107+G109</f>
        <v>384</v>
      </c>
      <c r="I106" s="47">
        <f>I107+I109</f>
        <v>631.79999999999995</v>
      </c>
      <c r="K106" s="47">
        <f>K107+K109</f>
        <v>756.3</v>
      </c>
      <c r="M106" s="47">
        <f>M107+M109</f>
        <v>1084.1299999999999</v>
      </c>
      <c r="O106" s="47">
        <f>O107+O109</f>
        <v>1084.1299999999999</v>
      </c>
      <c r="P106" s="30"/>
      <c r="Q106" s="47">
        <f>Q107+Q109</f>
        <v>1084.1299999999999</v>
      </c>
      <c r="S106" s="47">
        <f>S107+S109</f>
        <v>1084.1299999999999</v>
      </c>
      <c r="V106" s="47">
        <f>V107+V109</f>
        <v>1084.1299999999999</v>
      </c>
      <c r="X106" s="47">
        <f>X107+X109+X108</f>
        <v>1084.1299999999999</v>
      </c>
      <c r="Z106" s="47">
        <f>Z107+Z109+Z108</f>
        <v>1148.9299999999998</v>
      </c>
      <c r="AA106" s="47">
        <f>AA107+AA109+AA108</f>
        <v>1100.8</v>
      </c>
      <c r="AB106" s="85">
        <f t="shared" si="74"/>
        <v>0.95810884910307859</v>
      </c>
    </row>
    <row r="107" spans="1:29" x14ac:dyDescent="0.25">
      <c r="A107" s="19" t="s">
        <v>217</v>
      </c>
      <c r="B107" s="40"/>
      <c r="C107" s="40" t="s">
        <v>46</v>
      </c>
      <c r="D107" s="40" t="s">
        <v>46</v>
      </c>
      <c r="E107" s="40" t="s">
        <v>240</v>
      </c>
      <c r="F107" s="40" t="s">
        <v>218</v>
      </c>
      <c r="G107" s="29">
        <v>274</v>
      </c>
      <c r="H107" s="52">
        <f>40+52.8+150+45</f>
        <v>287.8</v>
      </c>
      <c r="I107" s="47">
        <f t="shared" ref="I107:K109" si="95">G107+H107</f>
        <v>561.79999999999995</v>
      </c>
      <c r="J107" s="28">
        <v>124.5</v>
      </c>
      <c r="K107" s="47">
        <f t="shared" si="95"/>
        <v>686.3</v>
      </c>
      <c r="L107" s="30">
        <v>327.83</v>
      </c>
      <c r="M107" s="47">
        <f t="shared" ref="M107:M109" si="96">K107+L107</f>
        <v>1014.1299999999999</v>
      </c>
      <c r="O107" s="47">
        <f t="shared" ref="O107:O109" si="97">M107+N107</f>
        <v>1014.1299999999999</v>
      </c>
      <c r="P107" s="30"/>
      <c r="Q107" s="47">
        <f t="shared" ref="Q107:Q109" si="98">O107+P107</f>
        <v>1014.1299999999999</v>
      </c>
      <c r="S107" s="47">
        <f t="shared" ref="S107:S109" si="99">Q107+R107</f>
        <v>1014.1299999999999</v>
      </c>
      <c r="V107" s="47">
        <f>S107+U107</f>
        <v>1014.1299999999999</v>
      </c>
      <c r="X107" s="47">
        <f>V107+W107</f>
        <v>1014.1299999999999</v>
      </c>
      <c r="Z107" s="47">
        <f>X107+Y107+64.8</f>
        <v>1078.9299999999998</v>
      </c>
      <c r="AA107" s="86">
        <v>1045.4000000000001</v>
      </c>
      <c r="AB107" s="85">
        <f t="shared" si="74"/>
        <v>0.96892291436886568</v>
      </c>
      <c r="AC107" s="50">
        <v>64.8</v>
      </c>
    </row>
    <row r="108" spans="1:29" x14ac:dyDescent="0.25">
      <c r="A108" s="19" t="s">
        <v>244</v>
      </c>
      <c r="B108" s="40"/>
      <c r="C108" s="40" t="s">
        <v>46</v>
      </c>
      <c r="D108" s="40" t="s">
        <v>46</v>
      </c>
      <c r="E108" s="40" t="s">
        <v>240</v>
      </c>
      <c r="F108" s="40" t="s">
        <v>225</v>
      </c>
      <c r="G108" s="29"/>
      <c r="I108" s="47"/>
      <c r="K108" s="47"/>
      <c r="M108" s="47"/>
      <c r="O108" s="47"/>
      <c r="P108" s="30"/>
      <c r="Q108" s="47"/>
      <c r="S108" s="47"/>
      <c r="V108" s="47"/>
      <c r="W108" s="30">
        <v>57.4</v>
      </c>
      <c r="X108" s="47">
        <f>V108+W108</f>
        <v>57.4</v>
      </c>
      <c r="Z108" s="47">
        <f>X108+Y108</f>
        <v>57.4</v>
      </c>
      <c r="AA108" s="86">
        <v>42.8</v>
      </c>
      <c r="AB108" s="85">
        <f t="shared" si="74"/>
        <v>0.74564459930313587</v>
      </c>
    </row>
    <row r="109" spans="1:29" ht="30" customHeight="1" x14ac:dyDescent="0.25">
      <c r="A109" s="19" t="s">
        <v>223</v>
      </c>
      <c r="B109" s="40"/>
      <c r="C109" s="40" t="s">
        <v>46</v>
      </c>
      <c r="D109" s="40" t="s">
        <v>46</v>
      </c>
      <c r="E109" s="40" t="s">
        <v>240</v>
      </c>
      <c r="F109" s="40" t="s">
        <v>224</v>
      </c>
      <c r="G109" s="29">
        <v>110</v>
      </c>
      <c r="H109" s="52">
        <v>-40</v>
      </c>
      <c r="I109" s="47">
        <f t="shared" si="95"/>
        <v>70</v>
      </c>
      <c r="K109" s="47">
        <f t="shared" si="95"/>
        <v>70</v>
      </c>
      <c r="M109" s="47">
        <f t="shared" si="96"/>
        <v>70</v>
      </c>
      <c r="O109" s="47">
        <f t="shared" si="97"/>
        <v>70</v>
      </c>
      <c r="P109" s="30"/>
      <c r="Q109" s="47">
        <f t="shared" si="98"/>
        <v>70</v>
      </c>
      <c r="S109" s="47">
        <f t="shared" si="99"/>
        <v>70</v>
      </c>
      <c r="V109" s="47">
        <f>S109+U109</f>
        <v>70</v>
      </c>
      <c r="W109" s="30">
        <v>-57.4</v>
      </c>
      <c r="X109" s="47">
        <f>V109+W109</f>
        <v>12.600000000000001</v>
      </c>
      <c r="Z109" s="47">
        <f>X109+Y109</f>
        <v>12.600000000000001</v>
      </c>
      <c r="AA109" s="86">
        <v>12.6</v>
      </c>
      <c r="AB109" s="85">
        <f t="shared" si="74"/>
        <v>0.99999999999999989</v>
      </c>
    </row>
    <row r="110" spans="1:29" x14ac:dyDescent="0.25">
      <c r="A110" s="42" t="s">
        <v>55</v>
      </c>
      <c r="B110" s="35"/>
      <c r="C110" s="35" t="s">
        <v>56</v>
      </c>
      <c r="D110" s="35"/>
      <c r="E110" s="35"/>
      <c r="F110" s="35"/>
      <c r="G110" s="36">
        <f>G117+G124</f>
        <v>3056.4</v>
      </c>
      <c r="I110" s="48">
        <f>I117+I124</f>
        <v>3216.4</v>
      </c>
      <c r="K110" s="48">
        <f>K117+K124+K114+K111</f>
        <v>8033.15</v>
      </c>
      <c r="M110" s="48">
        <f>M117+M124+M114+M111</f>
        <v>8037.3499999999995</v>
      </c>
      <c r="O110" s="48">
        <f>O117+O124+O114+O111</f>
        <v>8037.3499999999995</v>
      </c>
      <c r="P110" s="30"/>
      <c r="Q110" s="48">
        <f>Q117+Q124+Q114+Q111</f>
        <v>8037.3499999999995</v>
      </c>
      <c r="S110" s="48">
        <f>S117+S124+S114+S111</f>
        <v>9156.3000000000011</v>
      </c>
      <c r="V110" s="48">
        <f>V117+V124+V114+V111</f>
        <v>9156.3000000000011</v>
      </c>
      <c r="X110" s="48">
        <f>X117+X124+X114+X111</f>
        <v>9156.3000000000011</v>
      </c>
      <c r="Z110" s="48">
        <f>Z117+Z124+Z114+Z111</f>
        <v>11012.350000000002</v>
      </c>
      <c r="AA110" s="48">
        <f>AA117+AA124+AA114+AA111</f>
        <v>6307.52</v>
      </c>
      <c r="AB110" s="87">
        <f t="shared" si="74"/>
        <v>0.57276784700813166</v>
      </c>
    </row>
    <row r="111" spans="1:29" x14ac:dyDescent="0.25">
      <c r="A111" s="42" t="s">
        <v>57</v>
      </c>
      <c r="B111" s="35"/>
      <c r="C111" s="35" t="s">
        <v>56</v>
      </c>
      <c r="D111" s="35" t="s">
        <v>15</v>
      </c>
      <c r="E111" s="35"/>
      <c r="F111" s="35"/>
      <c r="G111" s="36"/>
      <c r="I111" s="48"/>
      <c r="K111" s="48">
        <f>K112</f>
        <v>58.75</v>
      </c>
      <c r="M111" s="48">
        <f>M112</f>
        <v>62.95</v>
      </c>
      <c r="O111" s="48">
        <f>O112</f>
        <v>62.95</v>
      </c>
      <c r="P111" s="30"/>
      <c r="Q111" s="48">
        <f>Q112</f>
        <v>62.95</v>
      </c>
      <c r="S111" s="48">
        <f>S112</f>
        <v>62.95</v>
      </c>
      <c r="V111" s="48">
        <f>V112</f>
        <v>62.95</v>
      </c>
      <c r="X111" s="48">
        <f>X112</f>
        <v>62.95</v>
      </c>
      <c r="Z111" s="48">
        <f>Z112</f>
        <v>1918.95</v>
      </c>
      <c r="AA111" s="48">
        <f>AA112</f>
        <v>1838.64</v>
      </c>
      <c r="AB111" s="87">
        <f t="shared" si="74"/>
        <v>0.95814898772766355</v>
      </c>
    </row>
    <row r="112" spans="1:29" x14ac:dyDescent="0.25">
      <c r="A112" s="41" t="s">
        <v>332</v>
      </c>
      <c r="B112" s="40"/>
      <c r="C112" s="40" t="s">
        <v>56</v>
      </c>
      <c r="D112" s="40" t="s">
        <v>15</v>
      </c>
      <c r="E112" s="40" t="s">
        <v>384</v>
      </c>
      <c r="F112" s="40"/>
      <c r="G112" s="29"/>
      <c r="I112" s="47"/>
      <c r="K112" s="47">
        <f>K113</f>
        <v>58.75</v>
      </c>
      <c r="M112" s="47">
        <f>M113</f>
        <v>62.95</v>
      </c>
      <c r="O112" s="47">
        <f>O113</f>
        <v>62.95</v>
      </c>
      <c r="P112" s="30"/>
      <c r="Q112" s="47">
        <f>Q113</f>
        <v>62.95</v>
      </c>
      <c r="S112" s="47">
        <f>S113</f>
        <v>62.95</v>
      </c>
      <c r="V112" s="47">
        <f>V113</f>
        <v>62.95</v>
      </c>
      <c r="X112" s="47">
        <f>X113</f>
        <v>62.95</v>
      </c>
      <c r="Z112" s="47">
        <f>Z113</f>
        <v>1918.95</v>
      </c>
      <c r="AA112" s="47">
        <f>AA113</f>
        <v>1838.64</v>
      </c>
      <c r="AB112" s="85">
        <f t="shared" si="74"/>
        <v>0.95814898772766355</v>
      </c>
    </row>
    <row r="113" spans="1:29" x14ac:dyDescent="0.25">
      <c r="A113" s="43" t="s">
        <v>244</v>
      </c>
      <c r="B113" s="40"/>
      <c r="C113" s="40" t="s">
        <v>56</v>
      </c>
      <c r="D113" s="40" t="s">
        <v>15</v>
      </c>
      <c r="E113" s="40" t="s">
        <v>384</v>
      </c>
      <c r="F113" s="40" t="s">
        <v>225</v>
      </c>
      <c r="G113" s="29"/>
      <c r="I113" s="47"/>
      <c r="J113" s="28">
        <v>58.75</v>
      </c>
      <c r="K113" s="47">
        <f t="shared" ref="K113" si="100">I113+J113</f>
        <v>58.75</v>
      </c>
      <c r="L113" s="30">
        <v>4.2</v>
      </c>
      <c r="M113" s="47">
        <f t="shared" ref="M113" si="101">K113+L113</f>
        <v>62.95</v>
      </c>
      <c r="O113" s="47">
        <f t="shared" ref="O113" si="102">M113+N113</f>
        <v>62.95</v>
      </c>
      <c r="P113" s="30"/>
      <c r="Q113" s="47">
        <f t="shared" ref="Q113" si="103">O113+P113</f>
        <v>62.95</v>
      </c>
      <c r="S113" s="47">
        <f t="shared" ref="S113" si="104">Q113+R113</f>
        <v>62.95</v>
      </c>
      <c r="V113" s="47">
        <f>S113+U113</f>
        <v>62.95</v>
      </c>
      <c r="X113" s="47">
        <f>V113+W113</f>
        <v>62.95</v>
      </c>
      <c r="Y113" s="30">
        <v>856</v>
      </c>
      <c r="Z113" s="47">
        <f>X113+Y113+1000</f>
        <v>1918.95</v>
      </c>
      <c r="AA113" s="86">
        <v>1838.64</v>
      </c>
      <c r="AB113" s="85">
        <f t="shared" si="74"/>
        <v>0.95814898772766355</v>
      </c>
      <c r="AC113" s="50">
        <v>1000</v>
      </c>
    </row>
    <row r="114" spans="1:29" x14ac:dyDescent="0.25">
      <c r="A114" s="10" t="s">
        <v>80</v>
      </c>
      <c r="B114" s="35"/>
      <c r="C114" s="35" t="s">
        <v>56</v>
      </c>
      <c r="D114" s="35" t="s">
        <v>17</v>
      </c>
      <c r="E114" s="35"/>
      <c r="F114" s="35"/>
      <c r="G114" s="36"/>
      <c r="I114" s="48"/>
      <c r="K114" s="48">
        <f>K115</f>
        <v>3038</v>
      </c>
      <c r="M114" s="48">
        <f>M115</f>
        <v>3038</v>
      </c>
      <c r="O114" s="48">
        <f>O115</f>
        <v>3038</v>
      </c>
      <c r="P114" s="30"/>
      <c r="Q114" s="48">
        <f>Q115</f>
        <v>3038</v>
      </c>
      <c r="S114" s="48">
        <f>S115</f>
        <v>3038</v>
      </c>
      <c r="V114" s="48">
        <f>V115</f>
        <v>3038</v>
      </c>
      <c r="X114" s="48">
        <f>X115</f>
        <v>3038</v>
      </c>
      <c r="Z114" s="48">
        <f>Z115</f>
        <v>3038</v>
      </c>
      <c r="AA114" s="48">
        <f>AA115</f>
        <v>3038</v>
      </c>
      <c r="AB114" s="87">
        <f t="shared" si="74"/>
        <v>1</v>
      </c>
    </row>
    <row r="115" spans="1:29" ht="29.25" customHeight="1" x14ac:dyDescent="0.25">
      <c r="A115" s="19" t="s">
        <v>436</v>
      </c>
      <c r="B115" s="40"/>
      <c r="C115" s="40" t="s">
        <v>56</v>
      </c>
      <c r="D115" s="40" t="s">
        <v>17</v>
      </c>
      <c r="E115" s="40" t="s">
        <v>405</v>
      </c>
      <c r="F115" s="40"/>
      <c r="G115" s="29"/>
      <c r="I115" s="47"/>
      <c r="K115" s="47">
        <f>K116</f>
        <v>3038</v>
      </c>
      <c r="M115" s="47">
        <f>M116</f>
        <v>3038</v>
      </c>
      <c r="O115" s="47">
        <f>O116</f>
        <v>3038</v>
      </c>
      <c r="P115" s="30"/>
      <c r="Q115" s="47">
        <f>Q116</f>
        <v>3038</v>
      </c>
      <c r="S115" s="47">
        <f>S116</f>
        <v>3038</v>
      </c>
      <c r="V115" s="47">
        <f>V116</f>
        <v>3038</v>
      </c>
      <c r="X115" s="47">
        <f>X116</f>
        <v>3038</v>
      </c>
      <c r="Z115" s="47">
        <f>Z116</f>
        <v>3038</v>
      </c>
      <c r="AA115" s="47">
        <f>AA116</f>
        <v>3038</v>
      </c>
      <c r="AB115" s="85">
        <f t="shared" si="74"/>
        <v>1</v>
      </c>
    </row>
    <row r="116" spans="1:29" ht="14.25" customHeight="1" x14ac:dyDescent="0.25">
      <c r="A116" s="19" t="s">
        <v>406</v>
      </c>
      <c r="B116" s="40"/>
      <c r="C116" s="40" t="s">
        <v>56</v>
      </c>
      <c r="D116" s="40" t="s">
        <v>17</v>
      </c>
      <c r="E116" s="40" t="s">
        <v>405</v>
      </c>
      <c r="F116" s="40" t="s">
        <v>325</v>
      </c>
      <c r="G116" s="29"/>
      <c r="I116" s="47"/>
      <c r="J116" s="28">
        <v>3038</v>
      </c>
      <c r="K116" s="47">
        <f t="shared" ref="K116" si="105">I116+J116</f>
        <v>3038</v>
      </c>
      <c r="M116" s="47">
        <f t="shared" ref="M116" si="106">K116+L116</f>
        <v>3038</v>
      </c>
      <c r="O116" s="47">
        <f t="shared" ref="O116" si="107">M116+N116</f>
        <v>3038</v>
      </c>
      <c r="P116" s="30"/>
      <c r="Q116" s="47">
        <f t="shared" ref="Q116" si="108">O116+P116</f>
        <v>3038</v>
      </c>
      <c r="S116" s="47">
        <f t="shared" ref="S116" si="109">Q116+R116</f>
        <v>3038</v>
      </c>
      <c r="V116" s="47">
        <f>S116+U116</f>
        <v>3038</v>
      </c>
      <c r="X116" s="47">
        <f>V116+W116</f>
        <v>3038</v>
      </c>
      <c r="Z116" s="47">
        <f>X116+Y116</f>
        <v>3038</v>
      </c>
      <c r="AA116" s="86">
        <v>3038</v>
      </c>
      <c r="AB116" s="85">
        <f t="shared" si="74"/>
        <v>1</v>
      </c>
    </row>
    <row r="117" spans="1:29" x14ac:dyDescent="0.25">
      <c r="A117" s="42" t="s">
        <v>59</v>
      </c>
      <c r="B117" s="35"/>
      <c r="C117" s="35" t="s">
        <v>56</v>
      </c>
      <c r="D117" s="35" t="s">
        <v>56</v>
      </c>
      <c r="E117" s="35"/>
      <c r="F117" s="35"/>
      <c r="G117" s="36">
        <f>G118+G122</f>
        <v>500</v>
      </c>
      <c r="I117" s="48">
        <f>I118+I122</f>
        <v>660</v>
      </c>
      <c r="K117" s="48">
        <f>K118+K122</f>
        <v>660</v>
      </c>
      <c r="M117" s="48">
        <f>M118+M122</f>
        <v>660</v>
      </c>
      <c r="O117" s="48">
        <f>O118+O122</f>
        <v>660</v>
      </c>
      <c r="P117" s="30"/>
      <c r="Q117" s="48">
        <f>Q118+Q122</f>
        <v>660</v>
      </c>
      <c r="S117" s="48">
        <f>S118+S122+S120</f>
        <v>734</v>
      </c>
      <c r="V117" s="48">
        <f>V118+V122+V120</f>
        <v>734</v>
      </c>
      <c r="X117" s="48">
        <f>X118+X122+X120</f>
        <v>734</v>
      </c>
      <c r="Z117" s="48">
        <f>Z118+Z122+Z120</f>
        <v>734</v>
      </c>
      <c r="AA117" s="48">
        <f>AA118+AA122+AA120</f>
        <v>671.26</v>
      </c>
      <c r="AB117" s="87">
        <f t="shared" si="74"/>
        <v>0.91452316076294282</v>
      </c>
    </row>
    <row r="118" spans="1:29" x14ac:dyDescent="0.25">
      <c r="A118" s="19" t="s">
        <v>60</v>
      </c>
      <c r="B118" s="40"/>
      <c r="C118" s="40" t="s">
        <v>56</v>
      </c>
      <c r="D118" s="40" t="s">
        <v>56</v>
      </c>
      <c r="E118" s="40" t="s">
        <v>243</v>
      </c>
      <c r="F118" s="40"/>
      <c r="G118" s="29">
        <f>G119</f>
        <v>500</v>
      </c>
      <c r="I118" s="47">
        <f>I119</f>
        <v>660</v>
      </c>
      <c r="K118" s="47">
        <f>K119</f>
        <v>660</v>
      </c>
      <c r="M118" s="47">
        <f>M119</f>
        <v>660</v>
      </c>
      <c r="O118" s="47">
        <f>O119</f>
        <v>660</v>
      </c>
      <c r="P118" s="30"/>
      <c r="Q118" s="47">
        <f>Q119</f>
        <v>660</v>
      </c>
      <c r="S118" s="47">
        <f>S119</f>
        <v>660</v>
      </c>
      <c r="V118" s="47">
        <f>V119</f>
        <v>660</v>
      </c>
      <c r="X118" s="47">
        <f>X119</f>
        <v>660</v>
      </c>
      <c r="Z118" s="47">
        <f>Z119</f>
        <v>660</v>
      </c>
      <c r="AA118" s="47">
        <f>AA119</f>
        <v>659.21</v>
      </c>
      <c r="AB118" s="85">
        <f t="shared" si="74"/>
        <v>0.9988030303030303</v>
      </c>
    </row>
    <row r="119" spans="1:29" ht="18.75" customHeight="1" x14ac:dyDescent="0.25">
      <c r="A119" s="43" t="s">
        <v>244</v>
      </c>
      <c r="B119" s="40"/>
      <c r="C119" s="40" t="s">
        <v>56</v>
      </c>
      <c r="D119" s="40" t="s">
        <v>56</v>
      </c>
      <c r="E119" s="40" t="s">
        <v>243</v>
      </c>
      <c r="F119" s="40" t="s">
        <v>225</v>
      </c>
      <c r="G119" s="29">
        <v>500</v>
      </c>
      <c r="H119" s="52">
        <v>160</v>
      </c>
      <c r="I119" s="47">
        <f t="shared" ref="I119:K123" si="110">G119+H119</f>
        <v>660</v>
      </c>
      <c r="K119" s="47">
        <f t="shared" si="110"/>
        <v>660</v>
      </c>
      <c r="M119" s="47">
        <f t="shared" ref="M119" si="111">K119+L119</f>
        <v>660</v>
      </c>
      <c r="O119" s="47">
        <f t="shared" ref="O119" si="112">M119+N119</f>
        <v>660</v>
      </c>
      <c r="P119" s="30"/>
      <c r="Q119" s="47">
        <f t="shared" ref="Q119" si="113">O119+P119</f>
        <v>660</v>
      </c>
      <c r="S119" s="47">
        <f t="shared" ref="S119:S121" si="114">Q119+R119</f>
        <v>660</v>
      </c>
      <c r="V119" s="47">
        <f>S119+U119</f>
        <v>660</v>
      </c>
      <c r="X119" s="47">
        <f>V119+W119</f>
        <v>660</v>
      </c>
      <c r="Z119" s="47">
        <f>X119+Y119</f>
        <v>660</v>
      </c>
      <c r="AA119" s="86">
        <f>671.26-12.05</f>
        <v>659.21</v>
      </c>
      <c r="AB119" s="85">
        <f t="shared" si="74"/>
        <v>0.9988030303030303</v>
      </c>
    </row>
    <row r="120" spans="1:29" ht="18.75" customHeight="1" x14ac:dyDescent="0.25">
      <c r="A120" s="43" t="s">
        <v>573</v>
      </c>
      <c r="B120" s="40"/>
      <c r="C120" s="40" t="s">
        <v>56</v>
      </c>
      <c r="D120" s="40" t="s">
        <v>56</v>
      </c>
      <c r="E120" s="40" t="s">
        <v>574</v>
      </c>
      <c r="F120" s="40"/>
      <c r="G120" s="29"/>
      <c r="I120" s="47"/>
      <c r="K120" s="47"/>
      <c r="M120" s="47"/>
      <c r="O120" s="47"/>
      <c r="P120" s="30"/>
      <c r="Q120" s="47"/>
      <c r="S120" s="47">
        <f>S121</f>
        <v>74</v>
      </c>
      <c r="V120" s="47">
        <f>V121</f>
        <v>74</v>
      </c>
      <c r="X120" s="47">
        <f>X121</f>
        <v>74</v>
      </c>
      <c r="Z120" s="47">
        <f>Z121</f>
        <v>74</v>
      </c>
      <c r="AA120" s="47">
        <f>AA121</f>
        <v>12.05</v>
      </c>
      <c r="AB120" s="85">
        <f t="shared" si="74"/>
        <v>0.16283783783783784</v>
      </c>
    </row>
    <row r="121" spans="1:29" ht="18.75" customHeight="1" x14ac:dyDescent="0.25">
      <c r="A121" s="43" t="s">
        <v>244</v>
      </c>
      <c r="B121" s="40"/>
      <c r="C121" s="40" t="s">
        <v>56</v>
      </c>
      <c r="D121" s="40" t="s">
        <v>56</v>
      </c>
      <c r="E121" s="40" t="s">
        <v>574</v>
      </c>
      <c r="F121" s="40" t="s">
        <v>225</v>
      </c>
      <c r="G121" s="29"/>
      <c r="I121" s="47"/>
      <c r="K121" s="47"/>
      <c r="M121" s="47"/>
      <c r="O121" s="47"/>
      <c r="P121" s="30"/>
      <c r="Q121" s="47"/>
      <c r="R121" s="30">
        <v>74</v>
      </c>
      <c r="S121" s="47">
        <f t="shared" si="114"/>
        <v>74</v>
      </c>
      <c r="V121" s="47">
        <f>S121+U121</f>
        <v>74</v>
      </c>
      <c r="X121" s="47">
        <f>V121+W121</f>
        <v>74</v>
      </c>
      <c r="Z121" s="47">
        <f>X121+Y121</f>
        <v>74</v>
      </c>
      <c r="AA121" s="86">
        <v>12.05</v>
      </c>
      <c r="AB121" s="85">
        <f t="shared" si="74"/>
        <v>0.16283783783783784</v>
      </c>
    </row>
    <row r="122" spans="1:29" hidden="1" x14ac:dyDescent="0.25">
      <c r="A122" s="19" t="s">
        <v>281</v>
      </c>
      <c r="B122" s="40"/>
      <c r="C122" s="40" t="s">
        <v>56</v>
      </c>
      <c r="D122" s="40" t="s">
        <v>56</v>
      </c>
      <c r="E122" s="40" t="s">
        <v>279</v>
      </c>
      <c r="F122" s="40"/>
      <c r="G122" s="29">
        <f>G123</f>
        <v>0</v>
      </c>
      <c r="I122" s="47">
        <f>I123</f>
        <v>0</v>
      </c>
      <c r="K122" s="47">
        <f>K123</f>
        <v>0</v>
      </c>
      <c r="M122" s="47">
        <f>M123</f>
        <v>0</v>
      </c>
      <c r="O122" s="47">
        <f>O123</f>
        <v>0</v>
      </c>
      <c r="P122" s="30"/>
      <c r="Q122" s="47">
        <f>Q123</f>
        <v>0</v>
      </c>
      <c r="S122" s="47">
        <f>S123</f>
        <v>0</v>
      </c>
      <c r="V122" s="47">
        <f>V123</f>
        <v>0</v>
      </c>
      <c r="X122" s="47">
        <f>X123</f>
        <v>0</v>
      </c>
      <c r="Z122" s="47">
        <f>Z123</f>
        <v>0</v>
      </c>
      <c r="AA122" s="86"/>
      <c r="AB122" s="85">
        <v>0</v>
      </c>
    </row>
    <row r="123" spans="1:29" hidden="1" x14ac:dyDescent="0.25">
      <c r="A123" s="19" t="s">
        <v>298</v>
      </c>
      <c r="B123" s="40"/>
      <c r="C123" s="40" t="s">
        <v>56</v>
      </c>
      <c r="D123" s="40" t="s">
        <v>56</v>
      </c>
      <c r="E123" s="40" t="s">
        <v>279</v>
      </c>
      <c r="F123" s="40" t="s">
        <v>299</v>
      </c>
      <c r="G123" s="29"/>
      <c r="I123" s="47">
        <f t="shared" si="110"/>
        <v>0</v>
      </c>
      <c r="K123" s="47">
        <f t="shared" si="110"/>
        <v>0</v>
      </c>
      <c r="M123" s="47">
        <f t="shared" ref="M123" si="115">K123+L123</f>
        <v>0</v>
      </c>
      <c r="O123" s="47">
        <f t="shared" ref="O123" si="116">M123+N123</f>
        <v>0</v>
      </c>
      <c r="P123" s="30"/>
      <c r="Q123" s="47">
        <f t="shared" ref="Q123" si="117">O123+P123</f>
        <v>0</v>
      </c>
      <c r="S123" s="47">
        <f t="shared" ref="S123" si="118">Q123+R123</f>
        <v>0</v>
      </c>
      <c r="V123" s="47">
        <f>S123+U123</f>
        <v>0</v>
      </c>
      <c r="X123" s="47">
        <f>V123+W123</f>
        <v>0</v>
      </c>
      <c r="Z123" s="47">
        <f>X123+Y123</f>
        <v>0</v>
      </c>
      <c r="AA123" s="86"/>
      <c r="AB123" s="85">
        <v>0</v>
      </c>
    </row>
    <row r="124" spans="1:29" x14ac:dyDescent="0.25">
      <c r="A124" s="42" t="s">
        <v>62</v>
      </c>
      <c r="B124" s="35"/>
      <c r="C124" s="35" t="s">
        <v>56</v>
      </c>
      <c r="D124" s="35" t="s">
        <v>63</v>
      </c>
      <c r="E124" s="35"/>
      <c r="F124" s="35"/>
      <c r="G124" s="36">
        <f>G125+G130+G133</f>
        <v>2556.4</v>
      </c>
      <c r="I124" s="48">
        <f>I125+I130+I133</f>
        <v>2556.4</v>
      </c>
      <c r="K124" s="48">
        <f>K125+K130+K133+K127+K129</f>
        <v>4276.3999999999996</v>
      </c>
      <c r="M124" s="48">
        <f>M125+M130+M133+M127+M129</f>
        <v>4276.3999999999996</v>
      </c>
      <c r="O124" s="48">
        <f>O125+O130+O133+O127+O129</f>
        <v>4276.3999999999996</v>
      </c>
      <c r="P124" s="30"/>
      <c r="Q124" s="48">
        <f>Q125+Q130+Q133+Q127+Q129</f>
        <v>4276.3999999999996</v>
      </c>
      <c r="S124" s="48">
        <f>S125+S130+S133+S127+S129</f>
        <v>5321.35</v>
      </c>
      <c r="V124" s="48">
        <f>V125+V130+V133+V127+V129</f>
        <v>5321.35</v>
      </c>
      <c r="X124" s="48">
        <f>X125+X130+X133+X127+X129</f>
        <v>5321.35</v>
      </c>
      <c r="Z124" s="48">
        <f>Z125+Z130+Z133+Z127+Z129</f>
        <v>5321.4000000000005</v>
      </c>
      <c r="AA124" s="48">
        <f>AA125+AA130+AA133+AA127+AA129</f>
        <v>759.61999999999989</v>
      </c>
      <c r="AB124" s="87">
        <f t="shared" si="74"/>
        <v>0.1427481489833502</v>
      </c>
    </row>
    <row r="125" spans="1:29" x14ac:dyDescent="0.25">
      <c r="A125" s="19" t="s">
        <v>60</v>
      </c>
      <c r="B125" s="40"/>
      <c r="C125" s="40" t="s">
        <v>56</v>
      </c>
      <c r="D125" s="40" t="s">
        <v>63</v>
      </c>
      <c r="E125" s="40" t="s">
        <v>245</v>
      </c>
      <c r="F125" s="40"/>
      <c r="G125" s="29">
        <f>G126</f>
        <v>450</v>
      </c>
      <c r="I125" s="47">
        <f>I126</f>
        <v>450</v>
      </c>
      <c r="K125" s="47">
        <f>K126</f>
        <v>450</v>
      </c>
      <c r="M125" s="47">
        <f>M126</f>
        <v>450</v>
      </c>
      <c r="O125" s="47">
        <f>O126</f>
        <v>450</v>
      </c>
      <c r="P125" s="30"/>
      <c r="Q125" s="47">
        <f>Q126</f>
        <v>450</v>
      </c>
      <c r="S125" s="47">
        <f>S126</f>
        <v>423.63</v>
      </c>
      <c r="V125" s="47">
        <f>V126</f>
        <v>423.63</v>
      </c>
      <c r="X125" s="47">
        <f>X126</f>
        <v>423.63</v>
      </c>
      <c r="Z125" s="47">
        <f>Z126</f>
        <v>423.68</v>
      </c>
      <c r="AA125" s="47">
        <f>AA126</f>
        <v>349.09</v>
      </c>
      <c r="AB125" s="85">
        <f t="shared" si="74"/>
        <v>0.82394731873111771</v>
      </c>
    </row>
    <row r="126" spans="1:29" x14ac:dyDescent="0.25">
      <c r="A126" s="43" t="s">
        <v>244</v>
      </c>
      <c r="B126" s="40"/>
      <c r="C126" s="40" t="s">
        <v>56</v>
      </c>
      <c r="D126" s="40" t="s">
        <v>63</v>
      </c>
      <c r="E126" s="40" t="s">
        <v>245</v>
      </c>
      <c r="F126" s="40" t="s">
        <v>225</v>
      </c>
      <c r="G126" s="29">
        <v>450</v>
      </c>
      <c r="I126" s="47">
        <f t="shared" ref="I126:K134" si="119">G126+H126</f>
        <v>450</v>
      </c>
      <c r="K126" s="47">
        <f t="shared" si="119"/>
        <v>450</v>
      </c>
      <c r="M126" s="47">
        <f t="shared" ref="M126" si="120">K126+L126</f>
        <v>450</v>
      </c>
      <c r="O126" s="47">
        <f t="shared" ref="O126" si="121">M126+N126</f>
        <v>450</v>
      </c>
      <c r="P126" s="30"/>
      <c r="Q126" s="47">
        <f t="shared" ref="Q126" si="122">O126+P126</f>
        <v>450</v>
      </c>
      <c r="R126" s="30">
        <v>-26.37</v>
      </c>
      <c r="S126" s="47">
        <f t="shared" ref="S126" si="123">Q126+R126</f>
        <v>423.63</v>
      </c>
      <c r="V126" s="47">
        <f>S126+U126</f>
        <v>423.63</v>
      </c>
      <c r="X126" s="47">
        <f>V126+W126</f>
        <v>423.63</v>
      </c>
      <c r="Z126" s="47">
        <f>X126+Y126+0.05</f>
        <v>423.68</v>
      </c>
      <c r="AA126" s="86">
        <v>349.09</v>
      </c>
      <c r="AB126" s="85">
        <f t="shared" si="74"/>
        <v>0.82394731873111771</v>
      </c>
    </row>
    <row r="127" spans="1:29" ht="30" x14ac:dyDescent="0.25">
      <c r="A127" s="43" t="s">
        <v>425</v>
      </c>
      <c r="B127" s="40"/>
      <c r="C127" s="40" t="s">
        <v>56</v>
      </c>
      <c r="D127" s="40" t="s">
        <v>63</v>
      </c>
      <c r="E127" s="40" t="s">
        <v>407</v>
      </c>
      <c r="F127" s="40"/>
      <c r="G127" s="29"/>
      <c r="I127" s="47"/>
      <c r="K127" s="47">
        <f>K128</f>
        <v>103</v>
      </c>
      <c r="M127" s="47">
        <f>M128</f>
        <v>103</v>
      </c>
      <c r="O127" s="47">
        <f>O128</f>
        <v>103</v>
      </c>
      <c r="P127" s="30"/>
      <c r="Q127" s="47">
        <f>Q128</f>
        <v>103</v>
      </c>
      <c r="S127" s="47">
        <f>S128</f>
        <v>103</v>
      </c>
      <c r="V127" s="47">
        <f>V128</f>
        <v>103</v>
      </c>
      <c r="X127" s="47">
        <f>X128</f>
        <v>103</v>
      </c>
      <c r="Z127" s="47">
        <f>Z128</f>
        <v>103</v>
      </c>
      <c r="AA127" s="47">
        <f>AA128</f>
        <v>103</v>
      </c>
      <c r="AB127" s="85">
        <f t="shared" si="74"/>
        <v>1</v>
      </c>
    </row>
    <row r="128" spans="1:29" x14ac:dyDescent="0.25">
      <c r="A128" s="43" t="s">
        <v>244</v>
      </c>
      <c r="B128" s="40"/>
      <c r="C128" s="40" t="s">
        <v>56</v>
      </c>
      <c r="D128" s="40" t="s">
        <v>63</v>
      </c>
      <c r="E128" s="40" t="s">
        <v>407</v>
      </c>
      <c r="F128" s="40" t="s">
        <v>225</v>
      </c>
      <c r="G128" s="29"/>
      <c r="I128" s="47"/>
      <c r="J128" s="28">
        <v>103</v>
      </c>
      <c r="K128" s="47">
        <f t="shared" si="119"/>
        <v>103</v>
      </c>
      <c r="M128" s="47">
        <f t="shared" ref="M128:M129" si="124">K128+L128</f>
        <v>103</v>
      </c>
      <c r="O128" s="47">
        <f t="shared" ref="O128:O129" si="125">M128+N128</f>
        <v>103</v>
      </c>
      <c r="P128" s="30"/>
      <c r="Q128" s="47">
        <f t="shared" ref="Q128:Q129" si="126">O128+P128</f>
        <v>103</v>
      </c>
      <c r="S128" s="47">
        <f t="shared" ref="S128:S129" si="127">Q128+R128</f>
        <v>103</v>
      </c>
      <c r="V128" s="47">
        <f>S128+U128</f>
        <v>103</v>
      </c>
      <c r="X128" s="47">
        <f>V128+W128</f>
        <v>103</v>
      </c>
      <c r="Z128" s="47">
        <f>X128+Y128</f>
        <v>103</v>
      </c>
      <c r="AA128" s="86">
        <v>103</v>
      </c>
      <c r="AB128" s="85">
        <f t="shared" si="74"/>
        <v>1</v>
      </c>
    </row>
    <row r="129" spans="1:29" ht="30" x14ac:dyDescent="0.25">
      <c r="A129" s="43" t="s">
        <v>424</v>
      </c>
      <c r="B129" s="40"/>
      <c r="C129" s="40" t="s">
        <v>56</v>
      </c>
      <c r="D129" s="40" t="s">
        <v>63</v>
      </c>
      <c r="E129" s="40" t="s">
        <v>533</v>
      </c>
      <c r="F129" s="40" t="s">
        <v>225</v>
      </c>
      <c r="G129" s="29"/>
      <c r="I129" s="47"/>
      <c r="J129" s="28">
        <v>330</v>
      </c>
      <c r="K129" s="47">
        <f t="shared" si="119"/>
        <v>330</v>
      </c>
      <c r="M129" s="47">
        <f t="shared" si="124"/>
        <v>330</v>
      </c>
      <c r="O129" s="47">
        <f t="shared" si="125"/>
        <v>330</v>
      </c>
      <c r="P129" s="30"/>
      <c r="Q129" s="47">
        <f t="shared" si="126"/>
        <v>330</v>
      </c>
      <c r="S129" s="47">
        <f t="shared" si="127"/>
        <v>330</v>
      </c>
      <c r="V129" s="47">
        <f>S129+U129</f>
        <v>330</v>
      </c>
      <c r="X129" s="47">
        <f>V129+W129</f>
        <v>330</v>
      </c>
      <c r="Z129" s="47">
        <f>X129+Y129</f>
        <v>330</v>
      </c>
      <c r="AA129" s="86">
        <v>307.52999999999997</v>
      </c>
      <c r="AB129" s="85">
        <f t="shared" si="74"/>
        <v>0.9319090909090908</v>
      </c>
    </row>
    <row r="130" spans="1:29" ht="31.5" customHeight="1" x14ac:dyDescent="0.25">
      <c r="A130" s="19" t="s">
        <v>394</v>
      </c>
      <c r="B130" s="40"/>
      <c r="C130" s="40" t="s">
        <v>56</v>
      </c>
      <c r="D130" s="40" t="s">
        <v>63</v>
      </c>
      <c r="E130" s="40" t="s">
        <v>341</v>
      </c>
      <c r="F130" s="40"/>
      <c r="G130" s="29">
        <f>G131</f>
        <v>1806.4</v>
      </c>
      <c r="I130" s="47">
        <f>I131</f>
        <v>1806.4</v>
      </c>
      <c r="K130" s="47">
        <f>K131+K132</f>
        <v>3093.4</v>
      </c>
      <c r="M130" s="47">
        <f>M131+M132</f>
        <v>3093.4</v>
      </c>
      <c r="O130" s="47">
        <f>O131+O132</f>
        <v>3093.4</v>
      </c>
      <c r="P130" s="30"/>
      <c r="Q130" s="47">
        <f>Q131+Q132</f>
        <v>3093.4</v>
      </c>
      <c r="S130" s="47">
        <f>S131+S132</f>
        <v>4414.72</v>
      </c>
      <c r="V130" s="47">
        <f>V131+V132</f>
        <v>4414.72</v>
      </c>
      <c r="X130" s="47">
        <f>X131+X132</f>
        <v>4414.72</v>
      </c>
      <c r="Z130" s="47">
        <f>Z131+Z132</f>
        <v>4414.72</v>
      </c>
      <c r="AA130" s="47">
        <f>AA131+AA132</f>
        <v>0</v>
      </c>
      <c r="AB130" s="85">
        <f t="shared" si="74"/>
        <v>0</v>
      </c>
    </row>
    <row r="131" spans="1:29" x14ac:dyDescent="0.25">
      <c r="A131" s="19" t="s">
        <v>298</v>
      </c>
      <c r="B131" s="40"/>
      <c r="C131" s="40" t="s">
        <v>56</v>
      </c>
      <c r="D131" s="40" t="s">
        <v>63</v>
      </c>
      <c r="E131" s="40" t="s">
        <v>341</v>
      </c>
      <c r="F131" s="40" t="s">
        <v>299</v>
      </c>
      <c r="G131" s="29">
        <v>1806.4</v>
      </c>
      <c r="I131" s="47">
        <f t="shared" si="119"/>
        <v>1806.4</v>
      </c>
      <c r="K131" s="47">
        <f t="shared" si="119"/>
        <v>1806.4</v>
      </c>
      <c r="M131" s="47">
        <f t="shared" ref="M131:M132" si="128">K131+L131</f>
        <v>1806.4</v>
      </c>
      <c r="O131" s="47">
        <f t="shared" ref="O131:O132" si="129">M131+N131</f>
        <v>1806.4</v>
      </c>
      <c r="P131" s="30"/>
      <c r="Q131" s="47">
        <f t="shared" ref="Q131:Q132" si="130">O131+P131</f>
        <v>1806.4</v>
      </c>
      <c r="R131" s="30">
        <v>1321.32</v>
      </c>
      <c r="S131" s="47">
        <f t="shared" ref="S131:S132" si="131">Q131+R131</f>
        <v>3127.7200000000003</v>
      </c>
      <c r="V131" s="47">
        <f>S131+U131</f>
        <v>3127.7200000000003</v>
      </c>
      <c r="X131" s="47">
        <f>V131+W131</f>
        <v>3127.7200000000003</v>
      </c>
      <c r="Z131" s="47">
        <f>X131+Y131</f>
        <v>3127.7200000000003</v>
      </c>
      <c r="AA131" s="86">
        <v>0</v>
      </c>
      <c r="AB131" s="85">
        <f t="shared" si="74"/>
        <v>0</v>
      </c>
    </row>
    <row r="132" spans="1:29" ht="31.5" x14ac:dyDescent="0.25">
      <c r="A132" s="19" t="s">
        <v>634</v>
      </c>
      <c r="B132" s="40"/>
      <c r="C132" s="40" t="s">
        <v>56</v>
      </c>
      <c r="D132" s="40" t="s">
        <v>63</v>
      </c>
      <c r="E132" s="40" t="s">
        <v>341</v>
      </c>
      <c r="F132" s="40" t="s">
        <v>299</v>
      </c>
      <c r="G132" s="29"/>
      <c r="I132" s="47"/>
      <c r="J132" s="28">
        <v>1287</v>
      </c>
      <c r="K132" s="47">
        <f t="shared" si="119"/>
        <v>1287</v>
      </c>
      <c r="M132" s="47">
        <f t="shared" si="128"/>
        <v>1287</v>
      </c>
      <c r="O132" s="47">
        <f t="shared" si="129"/>
        <v>1287</v>
      </c>
      <c r="P132" s="30"/>
      <c r="Q132" s="47">
        <f t="shared" si="130"/>
        <v>1287</v>
      </c>
      <c r="S132" s="47">
        <f t="shared" si="131"/>
        <v>1287</v>
      </c>
      <c r="V132" s="47">
        <f>S132+U132</f>
        <v>1287</v>
      </c>
      <c r="X132" s="47">
        <f>V132+W132</f>
        <v>1287</v>
      </c>
      <c r="Z132" s="47">
        <f>X132+Y132</f>
        <v>1287</v>
      </c>
      <c r="AA132" s="86">
        <v>0</v>
      </c>
      <c r="AB132" s="85">
        <f t="shared" si="74"/>
        <v>0</v>
      </c>
    </row>
    <row r="133" spans="1:29" ht="45" customHeight="1" x14ac:dyDescent="0.25">
      <c r="A133" s="19" t="s">
        <v>401</v>
      </c>
      <c r="B133" s="40"/>
      <c r="C133" s="40" t="s">
        <v>56</v>
      </c>
      <c r="D133" s="40" t="s">
        <v>63</v>
      </c>
      <c r="E133" s="40" t="s">
        <v>309</v>
      </c>
      <c r="F133" s="40"/>
      <c r="G133" s="29">
        <f>G134</f>
        <v>300</v>
      </c>
      <c r="I133" s="47">
        <f>I134</f>
        <v>300</v>
      </c>
      <c r="K133" s="47">
        <f>K134</f>
        <v>300</v>
      </c>
      <c r="M133" s="47">
        <f>M134</f>
        <v>300</v>
      </c>
      <c r="O133" s="47">
        <f>O134</f>
        <v>300</v>
      </c>
      <c r="P133" s="30"/>
      <c r="Q133" s="47">
        <f>Q134</f>
        <v>300</v>
      </c>
      <c r="S133" s="47">
        <f>S134</f>
        <v>50</v>
      </c>
      <c r="V133" s="47">
        <f>V134</f>
        <v>50</v>
      </c>
      <c r="X133" s="47">
        <f>X134</f>
        <v>50</v>
      </c>
      <c r="Z133" s="47">
        <f>Z134</f>
        <v>50</v>
      </c>
      <c r="AA133" s="47">
        <f>AA134</f>
        <v>0</v>
      </c>
      <c r="AB133" s="85">
        <f t="shared" si="74"/>
        <v>0</v>
      </c>
    </row>
    <row r="134" spans="1:29" x14ac:dyDescent="0.25">
      <c r="A134" s="43" t="s">
        <v>244</v>
      </c>
      <c r="B134" s="40"/>
      <c r="C134" s="40" t="s">
        <v>56</v>
      </c>
      <c r="D134" s="40" t="s">
        <v>63</v>
      </c>
      <c r="E134" s="40" t="s">
        <v>309</v>
      </c>
      <c r="F134" s="40" t="s">
        <v>225</v>
      </c>
      <c r="G134" s="29">
        <v>300</v>
      </c>
      <c r="I134" s="47">
        <f t="shared" si="119"/>
        <v>300</v>
      </c>
      <c r="K134" s="47">
        <f t="shared" si="119"/>
        <v>300</v>
      </c>
      <c r="M134" s="47">
        <f t="shared" ref="M134" si="132">K134+L134</f>
        <v>300</v>
      </c>
      <c r="O134" s="47">
        <f t="shared" ref="O134" si="133">M134+N134</f>
        <v>300</v>
      </c>
      <c r="P134" s="30"/>
      <c r="Q134" s="47">
        <f t="shared" ref="Q134" si="134">O134+P134</f>
        <v>300</v>
      </c>
      <c r="R134" s="30">
        <v>-250</v>
      </c>
      <c r="S134" s="47">
        <f t="shared" ref="S134" si="135">Q134+R134</f>
        <v>50</v>
      </c>
      <c r="T134" s="70">
        <v>-250</v>
      </c>
      <c r="V134" s="47">
        <f>S134+U134</f>
        <v>50</v>
      </c>
      <c r="X134" s="47">
        <f>V134+W134</f>
        <v>50</v>
      </c>
      <c r="Z134" s="47">
        <f>X134+Y134</f>
        <v>50</v>
      </c>
      <c r="AA134" s="86">
        <v>0</v>
      </c>
      <c r="AB134" s="85">
        <f t="shared" si="74"/>
        <v>0</v>
      </c>
    </row>
    <row r="135" spans="1:29" x14ac:dyDescent="0.25">
      <c r="A135" s="42" t="s">
        <v>247</v>
      </c>
      <c r="B135" s="35"/>
      <c r="C135" s="35" t="s">
        <v>43</v>
      </c>
      <c r="D135" s="35"/>
      <c r="E135" s="35"/>
      <c r="F135" s="35"/>
      <c r="G135" s="36">
        <f>G136</f>
        <v>1000</v>
      </c>
      <c r="I135" s="48">
        <f>I136</f>
        <v>800</v>
      </c>
      <c r="K135" s="48">
        <f>K136</f>
        <v>880</v>
      </c>
      <c r="M135" s="48">
        <f>M136</f>
        <v>880</v>
      </c>
      <c r="O135" s="48">
        <f>O136</f>
        <v>880</v>
      </c>
      <c r="P135" s="30"/>
      <c r="Q135" s="48">
        <f>Q136</f>
        <v>880</v>
      </c>
      <c r="S135" s="48">
        <f>S136</f>
        <v>1251.6199999999999</v>
      </c>
      <c r="V135" s="48">
        <f>V136</f>
        <v>1251.6199999999999</v>
      </c>
      <c r="X135" s="48">
        <f>X136</f>
        <v>1251.6199999999999</v>
      </c>
      <c r="Z135" s="48">
        <f>Z136</f>
        <v>1186.82</v>
      </c>
      <c r="AA135" s="48">
        <f>AA136</f>
        <v>739.91</v>
      </c>
      <c r="AB135" s="87">
        <f t="shared" si="74"/>
        <v>0.62343910618290899</v>
      </c>
    </row>
    <row r="136" spans="1:29" x14ac:dyDescent="0.25">
      <c r="A136" s="42" t="s">
        <v>154</v>
      </c>
      <c r="B136" s="35"/>
      <c r="C136" s="35" t="s">
        <v>43</v>
      </c>
      <c r="D136" s="35" t="s">
        <v>15</v>
      </c>
      <c r="E136" s="35"/>
      <c r="F136" s="35"/>
      <c r="G136" s="36">
        <f>G137</f>
        <v>1000</v>
      </c>
      <c r="I136" s="48">
        <f>I137</f>
        <v>800</v>
      </c>
      <c r="K136" s="48">
        <f>K137+K141</f>
        <v>880</v>
      </c>
      <c r="M136" s="48">
        <f>M137+M141</f>
        <v>880</v>
      </c>
      <c r="O136" s="48">
        <f>O137+O141</f>
        <v>880</v>
      </c>
      <c r="P136" s="30"/>
      <c r="Q136" s="48">
        <f>Q137+Q141</f>
        <v>880</v>
      </c>
      <c r="S136" s="48">
        <f>S137+S141+S139</f>
        <v>1251.6199999999999</v>
      </c>
      <c r="V136" s="48">
        <f>V137+V141+V139</f>
        <v>1251.6199999999999</v>
      </c>
      <c r="X136" s="48">
        <f>X137+X141+X139</f>
        <v>1251.6199999999999</v>
      </c>
      <c r="Z136" s="48">
        <f>Z137+Z141+Z139</f>
        <v>1186.82</v>
      </c>
      <c r="AA136" s="48">
        <f>AA137+AA141+AA139</f>
        <v>739.91</v>
      </c>
      <c r="AB136" s="87">
        <f t="shared" si="74"/>
        <v>0.62343910618290899</v>
      </c>
    </row>
    <row r="137" spans="1:29" ht="17.25" customHeight="1" x14ac:dyDescent="0.25">
      <c r="A137" s="19" t="s">
        <v>248</v>
      </c>
      <c r="B137" s="40"/>
      <c r="C137" s="40" t="s">
        <v>43</v>
      </c>
      <c r="D137" s="40" t="s">
        <v>15</v>
      </c>
      <c r="E137" s="40" t="s">
        <v>246</v>
      </c>
      <c r="F137" s="40"/>
      <c r="G137" s="29">
        <f>G138</f>
        <v>1000</v>
      </c>
      <c r="I137" s="47">
        <f>I138</f>
        <v>800</v>
      </c>
      <c r="K137" s="47">
        <f>K138</f>
        <v>800</v>
      </c>
      <c r="M137" s="47">
        <f>M138</f>
        <v>800</v>
      </c>
      <c r="O137" s="47">
        <f>O138</f>
        <v>800</v>
      </c>
      <c r="P137" s="30"/>
      <c r="Q137" s="47">
        <f>Q138</f>
        <v>800</v>
      </c>
      <c r="S137" s="47">
        <f>S138</f>
        <v>800</v>
      </c>
      <c r="V137" s="47">
        <f>V138</f>
        <v>800</v>
      </c>
      <c r="X137" s="47">
        <f>X138</f>
        <v>800</v>
      </c>
      <c r="Z137" s="47">
        <f>Z138</f>
        <v>800</v>
      </c>
      <c r="AA137" s="47">
        <f>AA138</f>
        <v>660.86</v>
      </c>
      <c r="AB137" s="85">
        <f t="shared" si="74"/>
        <v>0.826075</v>
      </c>
    </row>
    <row r="138" spans="1:29" x14ac:dyDescent="0.25">
      <c r="A138" s="43" t="s">
        <v>244</v>
      </c>
      <c r="B138" s="40"/>
      <c r="C138" s="40" t="s">
        <v>43</v>
      </c>
      <c r="D138" s="40" t="s">
        <v>15</v>
      </c>
      <c r="E138" s="40" t="s">
        <v>246</v>
      </c>
      <c r="F138" s="40" t="s">
        <v>225</v>
      </c>
      <c r="G138" s="29">
        <v>1000</v>
      </c>
      <c r="H138" s="52">
        <v>-200</v>
      </c>
      <c r="I138" s="47">
        <f t="shared" ref="I138:K142" si="136">G138+H138</f>
        <v>800</v>
      </c>
      <c r="K138" s="47">
        <f t="shared" si="136"/>
        <v>800</v>
      </c>
      <c r="M138" s="47">
        <f t="shared" ref="M138" si="137">K138+L138</f>
        <v>800</v>
      </c>
      <c r="O138" s="47">
        <f t="shared" ref="O138" si="138">M138+N138</f>
        <v>800</v>
      </c>
      <c r="P138" s="30"/>
      <c r="Q138" s="47">
        <f t="shared" ref="Q138" si="139">O138+P138</f>
        <v>800</v>
      </c>
      <c r="S138" s="47">
        <f t="shared" ref="S138:S140" si="140">Q138+R138</f>
        <v>800</v>
      </c>
      <c r="V138" s="47">
        <f>S138+U138</f>
        <v>800</v>
      </c>
      <c r="X138" s="47">
        <f>V138+W138</f>
        <v>800</v>
      </c>
      <c r="Z138" s="47">
        <f>X138+Y138</f>
        <v>800</v>
      </c>
      <c r="AA138" s="86">
        <f>739.86-79</f>
        <v>660.86</v>
      </c>
      <c r="AB138" s="85">
        <f t="shared" si="74"/>
        <v>0.826075</v>
      </c>
    </row>
    <row r="139" spans="1:29" x14ac:dyDescent="0.25">
      <c r="A139" s="43" t="s">
        <v>575</v>
      </c>
      <c r="B139" s="40"/>
      <c r="C139" s="40" t="s">
        <v>43</v>
      </c>
      <c r="D139" s="40" t="s">
        <v>15</v>
      </c>
      <c r="E139" s="40" t="s">
        <v>576</v>
      </c>
      <c r="F139" s="40"/>
      <c r="G139" s="29"/>
      <c r="I139" s="47"/>
      <c r="K139" s="47"/>
      <c r="M139" s="47"/>
      <c r="O139" s="47"/>
      <c r="P139" s="30"/>
      <c r="Q139" s="47"/>
      <c r="S139" s="47">
        <f>S140</f>
        <v>371.62</v>
      </c>
      <c r="V139" s="47">
        <f>V140</f>
        <v>371.62</v>
      </c>
      <c r="X139" s="47">
        <f>X140</f>
        <v>371.62</v>
      </c>
      <c r="Z139" s="47">
        <f>Z140</f>
        <v>306.82</v>
      </c>
      <c r="AA139" s="47">
        <f>AA140</f>
        <v>0</v>
      </c>
      <c r="AB139" s="85">
        <f t="shared" si="74"/>
        <v>0</v>
      </c>
    </row>
    <row r="140" spans="1:29" x14ac:dyDescent="0.25">
      <c r="A140" s="43" t="s">
        <v>244</v>
      </c>
      <c r="B140" s="40"/>
      <c r="C140" s="40" t="s">
        <v>43</v>
      </c>
      <c r="D140" s="40" t="s">
        <v>15</v>
      </c>
      <c r="E140" s="40" t="s">
        <v>576</v>
      </c>
      <c r="F140" s="40" t="s">
        <v>225</v>
      </c>
      <c r="G140" s="29"/>
      <c r="I140" s="47"/>
      <c r="K140" s="47"/>
      <c r="M140" s="47"/>
      <c r="O140" s="47"/>
      <c r="P140" s="30"/>
      <c r="Q140" s="47"/>
      <c r="R140" s="30">
        <v>371.62</v>
      </c>
      <c r="S140" s="47">
        <f t="shared" si="140"/>
        <v>371.62</v>
      </c>
      <c r="V140" s="47">
        <f>S140+U140</f>
        <v>371.62</v>
      </c>
      <c r="X140" s="47">
        <f>V140+W140</f>
        <v>371.62</v>
      </c>
      <c r="Z140" s="47">
        <f>X140+Y140-64.8</f>
        <v>306.82</v>
      </c>
      <c r="AA140" s="86"/>
      <c r="AB140" s="85">
        <f t="shared" si="74"/>
        <v>0</v>
      </c>
      <c r="AC140" s="50">
        <v>-64.8</v>
      </c>
    </row>
    <row r="141" spans="1:29" ht="30" x14ac:dyDescent="0.25">
      <c r="A141" s="43" t="s">
        <v>561</v>
      </c>
      <c r="B141" s="40"/>
      <c r="C141" s="40" t="s">
        <v>43</v>
      </c>
      <c r="D141" s="40" t="s">
        <v>15</v>
      </c>
      <c r="E141" s="40" t="s">
        <v>431</v>
      </c>
      <c r="F141" s="40"/>
      <c r="G141" s="29"/>
      <c r="I141" s="47"/>
      <c r="K141" s="47">
        <f>K142</f>
        <v>80</v>
      </c>
      <c r="M141" s="47">
        <f>M142</f>
        <v>80</v>
      </c>
      <c r="O141" s="47">
        <f>O142</f>
        <v>80</v>
      </c>
      <c r="P141" s="30"/>
      <c r="Q141" s="47">
        <f>Q142</f>
        <v>80</v>
      </c>
      <c r="S141" s="47">
        <f>S142</f>
        <v>80</v>
      </c>
      <c r="V141" s="47">
        <f>V142</f>
        <v>80</v>
      </c>
      <c r="X141" s="47">
        <f>X142</f>
        <v>80</v>
      </c>
      <c r="Z141" s="47">
        <f>Z142</f>
        <v>80</v>
      </c>
      <c r="AA141" s="47">
        <f>AA142</f>
        <v>79.05</v>
      </c>
      <c r="AB141" s="85">
        <f t="shared" ref="AB141:AB204" si="141">AA141/Z141</f>
        <v>0.98812499999999992</v>
      </c>
    </row>
    <row r="142" spans="1:29" x14ac:dyDescent="0.25">
      <c r="A142" s="43" t="s">
        <v>244</v>
      </c>
      <c r="B142" s="40"/>
      <c r="C142" s="40" t="s">
        <v>43</v>
      </c>
      <c r="D142" s="40" t="s">
        <v>15</v>
      </c>
      <c r="E142" s="40" t="s">
        <v>431</v>
      </c>
      <c r="F142" s="40" t="s">
        <v>225</v>
      </c>
      <c r="G142" s="29"/>
      <c r="I142" s="47"/>
      <c r="J142" s="28">
        <v>80</v>
      </c>
      <c r="K142" s="47">
        <f t="shared" si="136"/>
        <v>80</v>
      </c>
      <c r="M142" s="47">
        <f t="shared" ref="M142" si="142">K142+L142</f>
        <v>80</v>
      </c>
      <c r="O142" s="47">
        <f t="shared" ref="O142" si="143">M142+N142</f>
        <v>80</v>
      </c>
      <c r="P142" s="30"/>
      <c r="Q142" s="47">
        <f t="shared" ref="Q142" si="144">O142+P142</f>
        <v>80</v>
      </c>
      <c r="S142" s="47">
        <f t="shared" ref="S142" si="145">Q142+R142</f>
        <v>80</v>
      </c>
      <c r="V142" s="47">
        <f>S142+U142</f>
        <v>80</v>
      </c>
      <c r="X142" s="47">
        <f>V142+W142</f>
        <v>80</v>
      </c>
      <c r="Z142" s="47">
        <f>X142+Y142</f>
        <v>80</v>
      </c>
      <c r="AA142" s="86">
        <v>79.05</v>
      </c>
      <c r="AB142" s="85">
        <f t="shared" si="141"/>
        <v>0.98812499999999992</v>
      </c>
    </row>
    <row r="143" spans="1:29" x14ac:dyDescent="0.25">
      <c r="A143" s="42" t="s">
        <v>184</v>
      </c>
      <c r="B143" s="35"/>
      <c r="C143" s="35" t="s">
        <v>68</v>
      </c>
      <c r="D143" s="35"/>
      <c r="E143" s="35"/>
      <c r="F143" s="35"/>
      <c r="G143" s="36">
        <f>G144+G147</f>
        <v>5257.61</v>
      </c>
      <c r="I143" s="48">
        <f>I144+I147</f>
        <v>5257.61</v>
      </c>
      <c r="K143" s="48">
        <f>K144+K147</f>
        <v>6242.83</v>
      </c>
      <c r="M143" s="48">
        <f>M144+M147</f>
        <v>6242.83</v>
      </c>
      <c r="O143" s="48">
        <f>O144+O147</f>
        <v>6242.83</v>
      </c>
      <c r="P143" s="30"/>
      <c r="Q143" s="48">
        <f>Q144+Q147</f>
        <v>6242.83</v>
      </c>
      <c r="S143" s="48">
        <f>S144+S147</f>
        <v>6242.83</v>
      </c>
      <c r="V143" s="48">
        <f>V144+V147</f>
        <v>6242.83</v>
      </c>
      <c r="X143" s="48">
        <f>X144+X147</f>
        <v>6242.83</v>
      </c>
      <c r="Z143" s="48">
        <f>Z144+Z147</f>
        <v>5762.0099999999993</v>
      </c>
      <c r="AA143" s="48">
        <f>AA144+AA147</f>
        <v>5024.4000000000005</v>
      </c>
      <c r="AB143" s="87">
        <f t="shared" si="141"/>
        <v>0.87198737940406235</v>
      </c>
    </row>
    <row r="144" spans="1:29" x14ac:dyDescent="0.25">
      <c r="A144" s="42" t="s">
        <v>69</v>
      </c>
      <c r="B144" s="35"/>
      <c r="C144" s="35" t="s">
        <v>68</v>
      </c>
      <c r="D144" s="35" t="s">
        <v>20</v>
      </c>
      <c r="E144" s="35"/>
      <c r="F144" s="35"/>
      <c r="G144" s="36">
        <f>G145</f>
        <v>500</v>
      </c>
      <c r="I144" s="48">
        <f>I145</f>
        <v>500</v>
      </c>
      <c r="K144" s="48">
        <f>K145</f>
        <v>500</v>
      </c>
      <c r="M144" s="48">
        <f>M145</f>
        <v>500</v>
      </c>
      <c r="O144" s="48">
        <f>O145</f>
        <v>500</v>
      </c>
      <c r="P144" s="30"/>
      <c r="Q144" s="48">
        <f>Q145</f>
        <v>500</v>
      </c>
      <c r="S144" s="48">
        <f>S145</f>
        <v>500</v>
      </c>
      <c r="V144" s="48">
        <f>V145</f>
        <v>500</v>
      </c>
      <c r="X144" s="48">
        <f>X145</f>
        <v>500</v>
      </c>
      <c r="Z144" s="48">
        <f>Z145</f>
        <v>500</v>
      </c>
      <c r="AA144" s="48">
        <f>AA145</f>
        <v>211.26</v>
      </c>
      <c r="AB144" s="85">
        <f t="shared" si="141"/>
        <v>0.42252000000000001</v>
      </c>
    </row>
    <row r="145" spans="1:28" x14ac:dyDescent="0.25">
      <c r="A145" s="19" t="s">
        <v>72</v>
      </c>
      <c r="B145" s="40"/>
      <c r="C145" s="40" t="s">
        <v>68</v>
      </c>
      <c r="D145" s="40" t="s">
        <v>20</v>
      </c>
      <c r="E145" s="40" t="s">
        <v>249</v>
      </c>
      <c r="F145" s="40"/>
      <c r="G145" s="29">
        <f>G146</f>
        <v>500</v>
      </c>
      <c r="I145" s="47">
        <f>I146</f>
        <v>500</v>
      </c>
      <c r="K145" s="47">
        <f>K146</f>
        <v>500</v>
      </c>
      <c r="M145" s="47">
        <f>M146</f>
        <v>500</v>
      </c>
      <c r="O145" s="47">
        <f>O146</f>
        <v>500</v>
      </c>
      <c r="P145" s="30"/>
      <c r="Q145" s="47">
        <f>Q146</f>
        <v>500</v>
      </c>
      <c r="S145" s="47">
        <f>S146</f>
        <v>500</v>
      </c>
      <c r="V145" s="47">
        <f>V146</f>
        <v>500</v>
      </c>
      <c r="X145" s="47">
        <f>X146</f>
        <v>500</v>
      </c>
      <c r="Z145" s="47">
        <f>Z146</f>
        <v>500</v>
      </c>
      <c r="AA145" s="47">
        <f>AA146</f>
        <v>211.26</v>
      </c>
      <c r="AB145" s="85">
        <f t="shared" si="141"/>
        <v>0.42252000000000001</v>
      </c>
    </row>
    <row r="146" spans="1:28" x14ac:dyDescent="0.25">
      <c r="A146" s="43" t="s">
        <v>244</v>
      </c>
      <c r="B146" s="40"/>
      <c r="C146" s="40" t="s">
        <v>68</v>
      </c>
      <c r="D146" s="40" t="s">
        <v>20</v>
      </c>
      <c r="E146" s="40" t="s">
        <v>249</v>
      </c>
      <c r="F146" s="40" t="s">
        <v>225</v>
      </c>
      <c r="G146" s="29">
        <v>500</v>
      </c>
      <c r="I146" s="47">
        <f t="shared" ref="I146:K146" si="146">G146+H146</f>
        <v>500</v>
      </c>
      <c r="K146" s="47">
        <f t="shared" si="146"/>
        <v>500</v>
      </c>
      <c r="M146" s="47">
        <f t="shared" ref="M146" si="147">K146+L146</f>
        <v>500</v>
      </c>
      <c r="O146" s="47">
        <f t="shared" ref="O146" si="148">M146+N146</f>
        <v>500</v>
      </c>
      <c r="P146" s="30"/>
      <c r="Q146" s="47">
        <f t="shared" ref="Q146" si="149">O146+P146</f>
        <v>500</v>
      </c>
      <c r="S146" s="47">
        <f t="shared" ref="S146" si="150">Q146+R146</f>
        <v>500</v>
      </c>
      <c r="V146" s="47">
        <f>S146+U146</f>
        <v>500</v>
      </c>
      <c r="X146" s="47">
        <f>V146+W146</f>
        <v>500</v>
      </c>
      <c r="Z146" s="47">
        <f>X146+Y146</f>
        <v>500</v>
      </c>
      <c r="AA146" s="86">
        <v>211.26</v>
      </c>
      <c r="AB146" s="85">
        <f t="shared" si="141"/>
        <v>0.42252000000000001</v>
      </c>
    </row>
    <row r="147" spans="1:28" x14ac:dyDescent="0.25">
      <c r="A147" s="42" t="s">
        <v>74</v>
      </c>
      <c r="B147" s="35"/>
      <c r="C147" s="35" t="s">
        <v>68</v>
      </c>
      <c r="D147" s="35" t="s">
        <v>24</v>
      </c>
      <c r="E147" s="35"/>
      <c r="F147" s="35"/>
      <c r="G147" s="36">
        <f>G148+G153</f>
        <v>4757.6099999999997</v>
      </c>
      <c r="I147" s="48">
        <f>I148+I153</f>
        <v>4757.6099999999997</v>
      </c>
      <c r="K147" s="48">
        <f>K148+K153</f>
        <v>5742.83</v>
      </c>
      <c r="M147" s="48">
        <f>M148+M153</f>
        <v>5742.83</v>
      </c>
      <c r="O147" s="48">
        <f>O148+O153</f>
        <v>5742.83</v>
      </c>
      <c r="P147" s="30"/>
      <c r="Q147" s="48">
        <f>Q148+Q153</f>
        <v>5742.83</v>
      </c>
      <c r="S147" s="48">
        <f>S148+S153</f>
        <v>5742.83</v>
      </c>
      <c r="V147" s="48">
        <f>V148+V153</f>
        <v>5742.83</v>
      </c>
      <c r="X147" s="48">
        <f>X148+X153</f>
        <v>5742.83</v>
      </c>
      <c r="Z147" s="48">
        <f>Z148+Z153</f>
        <v>5262.0099999999993</v>
      </c>
      <c r="AA147" s="48">
        <f>AA148+AA153</f>
        <v>4813.1400000000003</v>
      </c>
      <c r="AB147" s="87">
        <f t="shared" si="141"/>
        <v>0.91469609521836726</v>
      </c>
    </row>
    <row r="148" spans="1:28" ht="30" customHeight="1" x14ac:dyDescent="0.25">
      <c r="A148" s="19" t="s">
        <v>226</v>
      </c>
      <c r="B148" s="40"/>
      <c r="C148" s="40" t="s">
        <v>68</v>
      </c>
      <c r="D148" s="40" t="s">
        <v>24</v>
      </c>
      <c r="E148" s="40" t="s">
        <v>349</v>
      </c>
      <c r="F148" s="40"/>
      <c r="G148" s="47">
        <f>G149+G150+G151</f>
        <v>726.99</v>
      </c>
      <c r="I148" s="47">
        <f>I149+I150+I151</f>
        <v>726.99</v>
      </c>
      <c r="K148" s="47">
        <f>K149+K150+K151+K152</f>
        <v>728.07</v>
      </c>
      <c r="M148" s="47">
        <f>M149+M150+M151+M152</f>
        <v>728.07</v>
      </c>
      <c r="O148" s="47">
        <f>O149+O150+O151+O152</f>
        <v>728.07</v>
      </c>
      <c r="P148" s="30"/>
      <c r="Q148" s="47">
        <f>Q149+Q150+Q151+Q152</f>
        <v>728.07</v>
      </c>
      <c r="S148" s="47">
        <f>S149+S150+S151+S152</f>
        <v>728.07</v>
      </c>
      <c r="V148" s="47">
        <f>V149+V150+V151+V152</f>
        <v>728.07</v>
      </c>
      <c r="X148" s="47">
        <f>X149+X150+X151+X152</f>
        <v>728.07</v>
      </c>
      <c r="Z148" s="47">
        <f>Z149+Z150+Z151+Z152</f>
        <v>728.07</v>
      </c>
      <c r="AA148" s="47">
        <f>AA149+AA150+AA151+AA152</f>
        <v>728.03</v>
      </c>
      <c r="AB148" s="85">
        <f t="shared" si="141"/>
        <v>0.99994506022772522</v>
      </c>
    </row>
    <row r="149" spans="1:28" x14ac:dyDescent="0.25">
      <c r="A149" s="19" t="s">
        <v>217</v>
      </c>
      <c r="B149" s="40"/>
      <c r="C149" s="40" t="s">
        <v>68</v>
      </c>
      <c r="D149" s="40" t="s">
        <v>24</v>
      </c>
      <c r="E149" s="40" t="s">
        <v>349</v>
      </c>
      <c r="F149" s="40" t="s">
        <v>218</v>
      </c>
      <c r="G149" s="47">
        <f>467.3+159.8</f>
        <v>627.1</v>
      </c>
      <c r="I149" s="47">
        <f t="shared" ref="I149:K155" si="151">G149+H149</f>
        <v>627.1</v>
      </c>
      <c r="K149" s="47">
        <f t="shared" si="151"/>
        <v>627.1</v>
      </c>
      <c r="M149" s="47">
        <f t="shared" ref="M149:M152" si="152">K149+L149</f>
        <v>627.1</v>
      </c>
      <c r="O149" s="47">
        <f t="shared" ref="O149:O152" si="153">M149+N149</f>
        <v>627.1</v>
      </c>
      <c r="P149" s="30"/>
      <c r="Q149" s="47">
        <f t="shared" ref="Q149:Q152" si="154">O149+P149</f>
        <v>627.1</v>
      </c>
      <c r="S149" s="47">
        <f t="shared" ref="S149:S152" si="155">Q149+R149</f>
        <v>627.1</v>
      </c>
      <c r="V149" s="47">
        <f>S149+U149</f>
        <v>627.1</v>
      </c>
      <c r="W149" s="30">
        <v>1.9</v>
      </c>
      <c r="X149" s="47">
        <f>V149+W149</f>
        <v>629</v>
      </c>
      <c r="Z149" s="47">
        <f>X149+Y149</f>
        <v>629</v>
      </c>
      <c r="AA149" s="86">
        <v>629</v>
      </c>
      <c r="AB149" s="85">
        <f t="shared" si="141"/>
        <v>1</v>
      </c>
    </row>
    <row r="150" spans="1:28" ht="18" customHeight="1" x14ac:dyDescent="0.25">
      <c r="A150" s="19" t="s">
        <v>223</v>
      </c>
      <c r="B150" s="40"/>
      <c r="C150" s="40" t="s">
        <v>68</v>
      </c>
      <c r="D150" s="40" t="s">
        <v>24</v>
      </c>
      <c r="E150" s="40" t="s">
        <v>349</v>
      </c>
      <c r="F150" s="40" t="s">
        <v>224</v>
      </c>
      <c r="G150" s="29">
        <v>5</v>
      </c>
      <c r="I150" s="47">
        <f t="shared" si="151"/>
        <v>5</v>
      </c>
      <c r="K150" s="47">
        <f t="shared" si="151"/>
        <v>5</v>
      </c>
      <c r="M150" s="47">
        <f t="shared" si="152"/>
        <v>5</v>
      </c>
      <c r="O150" s="47">
        <f t="shared" si="153"/>
        <v>5</v>
      </c>
      <c r="P150" s="30"/>
      <c r="Q150" s="47">
        <f t="shared" si="154"/>
        <v>5</v>
      </c>
      <c r="S150" s="47">
        <f t="shared" si="155"/>
        <v>5</v>
      </c>
      <c r="V150" s="47">
        <f>S150+U150</f>
        <v>5</v>
      </c>
      <c r="W150" s="30">
        <v>24.6</v>
      </c>
      <c r="X150" s="47">
        <f>V150+W150</f>
        <v>29.6</v>
      </c>
      <c r="Z150" s="47">
        <f>X150+Y150</f>
        <v>29.6</v>
      </c>
      <c r="AA150" s="86">
        <v>29.56</v>
      </c>
      <c r="AB150" s="85">
        <f t="shared" si="141"/>
        <v>0.99864864864864855</v>
      </c>
    </row>
    <row r="151" spans="1:28" x14ac:dyDescent="0.25">
      <c r="A151" s="43" t="s">
        <v>244</v>
      </c>
      <c r="B151" s="40"/>
      <c r="C151" s="40" t="s">
        <v>68</v>
      </c>
      <c r="D151" s="40" t="s">
        <v>24</v>
      </c>
      <c r="E151" s="40" t="s">
        <v>349</v>
      </c>
      <c r="F151" s="40" t="s">
        <v>225</v>
      </c>
      <c r="G151" s="29">
        <f>55+2+3+24.89+10</f>
        <v>94.89</v>
      </c>
      <c r="I151" s="47">
        <f t="shared" si="151"/>
        <v>94.89</v>
      </c>
      <c r="K151" s="47">
        <f t="shared" si="151"/>
        <v>94.89</v>
      </c>
      <c r="M151" s="47">
        <f t="shared" si="152"/>
        <v>94.89</v>
      </c>
      <c r="O151" s="47">
        <f t="shared" si="153"/>
        <v>94.89</v>
      </c>
      <c r="P151" s="30"/>
      <c r="Q151" s="47">
        <f t="shared" si="154"/>
        <v>94.89</v>
      </c>
      <c r="S151" s="47">
        <f t="shared" si="155"/>
        <v>94.89</v>
      </c>
      <c r="V151" s="47">
        <f>S151+U151</f>
        <v>94.89</v>
      </c>
      <c r="W151" s="30">
        <f>-25.39-1.11</f>
        <v>-26.5</v>
      </c>
      <c r="X151" s="47">
        <f>V151+W151</f>
        <v>68.39</v>
      </c>
      <c r="Z151" s="47">
        <f>X151+Y151</f>
        <v>68.39</v>
      </c>
      <c r="AA151" s="86">
        <v>68.39</v>
      </c>
      <c r="AB151" s="85">
        <f t="shared" si="141"/>
        <v>1</v>
      </c>
    </row>
    <row r="152" spans="1:28" ht="27.75" customHeight="1" x14ac:dyDescent="0.25">
      <c r="A152" s="43" t="s">
        <v>432</v>
      </c>
      <c r="B152" s="40"/>
      <c r="C152" s="40" t="s">
        <v>68</v>
      </c>
      <c r="D152" s="40" t="s">
        <v>24</v>
      </c>
      <c r="E152" s="40" t="s">
        <v>349</v>
      </c>
      <c r="F152" s="40" t="s">
        <v>225</v>
      </c>
      <c r="G152" s="29"/>
      <c r="I152" s="47"/>
      <c r="J152" s="28">
        <v>1.08</v>
      </c>
      <c r="K152" s="47">
        <f t="shared" si="151"/>
        <v>1.08</v>
      </c>
      <c r="M152" s="47">
        <f t="shared" si="152"/>
        <v>1.08</v>
      </c>
      <c r="O152" s="47">
        <f t="shared" si="153"/>
        <v>1.08</v>
      </c>
      <c r="P152" s="30"/>
      <c r="Q152" s="47">
        <f t="shared" si="154"/>
        <v>1.08</v>
      </c>
      <c r="S152" s="47">
        <f t="shared" si="155"/>
        <v>1.08</v>
      </c>
      <c r="V152" s="47">
        <f>S152+U152</f>
        <v>1.08</v>
      </c>
      <c r="X152" s="47">
        <f>V152+W152</f>
        <v>1.08</v>
      </c>
      <c r="Z152" s="47">
        <f>X152+Y152</f>
        <v>1.08</v>
      </c>
      <c r="AA152" s="86">
        <v>1.08</v>
      </c>
      <c r="AB152" s="85">
        <f t="shared" si="141"/>
        <v>1</v>
      </c>
    </row>
    <row r="153" spans="1:28" ht="77.25" customHeight="1" x14ac:dyDescent="0.25">
      <c r="A153" s="19" t="s">
        <v>395</v>
      </c>
      <c r="B153" s="40"/>
      <c r="C153" s="40" t="s">
        <v>68</v>
      </c>
      <c r="D153" s="40" t="s">
        <v>24</v>
      </c>
      <c r="E153" s="40" t="s">
        <v>350</v>
      </c>
      <c r="F153" s="40"/>
      <c r="G153" s="29">
        <f>G154</f>
        <v>4030.62</v>
      </c>
      <c r="I153" s="47">
        <f>I154</f>
        <v>4030.62</v>
      </c>
      <c r="K153" s="47">
        <f>K154+K155</f>
        <v>5014.76</v>
      </c>
      <c r="M153" s="47">
        <f>M154+M155</f>
        <v>5014.76</v>
      </c>
      <c r="O153" s="47">
        <f>O154+O155</f>
        <v>5014.76</v>
      </c>
      <c r="P153" s="30"/>
      <c r="Q153" s="47">
        <f>Q154+Q155</f>
        <v>5014.76</v>
      </c>
      <c r="S153" s="47">
        <f>S154+S155</f>
        <v>5014.76</v>
      </c>
      <c r="V153" s="47">
        <f>V154+V155</f>
        <v>5014.76</v>
      </c>
      <c r="X153" s="47">
        <f>X154+X155</f>
        <v>5014.76</v>
      </c>
      <c r="Z153" s="47">
        <f>Z154+Z155</f>
        <v>4533.9399999999996</v>
      </c>
      <c r="AA153" s="47">
        <f>AA154+AA155</f>
        <v>4085.11</v>
      </c>
      <c r="AB153" s="85">
        <f t="shared" si="141"/>
        <v>0.90100662999510372</v>
      </c>
    </row>
    <row r="154" spans="1:28" ht="31.5" x14ac:dyDescent="0.25">
      <c r="A154" s="19" t="s">
        <v>311</v>
      </c>
      <c r="B154" s="40"/>
      <c r="C154" s="40" t="s">
        <v>68</v>
      </c>
      <c r="D154" s="40" t="s">
        <v>24</v>
      </c>
      <c r="E154" s="40" t="s">
        <v>350</v>
      </c>
      <c r="F154" s="40" t="s">
        <v>310</v>
      </c>
      <c r="G154" s="29">
        <v>4030.62</v>
      </c>
      <c r="I154" s="47">
        <f t="shared" si="151"/>
        <v>4030.62</v>
      </c>
      <c r="K154" s="47">
        <f t="shared" si="151"/>
        <v>4030.62</v>
      </c>
      <c r="M154" s="47">
        <f t="shared" ref="M154:M155" si="156">K154+L154</f>
        <v>4030.62</v>
      </c>
      <c r="O154" s="47">
        <f t="shared" ref="O154:O155" si="157">M154+N154</f>
        <v>4030.62</v>
      </c>
      <c r="P154" s="30"/>
      <c r="Q154" s="47">
        <f t="shared" ref="Q154:Q155" si="158">O154+P154</f>
        <v>4030.62</v>
      </c>
      <c r="S154" s="47">
        <f t="shared" ref="S154:S155" si="159">Q154+R154</f>
        <v>4030.62</v>
      </c>
      <c r="V154" s="47">
        <f>S154+U154</f>
        <v>4030.62</v>
      </c>
      <c r="X154" s="47">
        <f>V154+W154</f>
        <v>4030.62</v>
      </c>
      <c r="Y154" s="30">
        <v>-480.82</v>
      </c>
      <c r="Z154" s="47">
        <f>X154+Y154</f>
        <v>3549.7999999999997</v>
      </c>
      <c r="AA154" s="86">
        <f>4085.11-535.31</f>
        <v>3549.8</v>
      </c>
      <c r="AB154" s="85">
        <f t="shared" si="141"/>
        <v>1.0000000000000002</v>
      </c>
    </row>
    <row r="155" spans="1:28" ht="31.5" x14ac:dyDescent="0.25">
      <c r="A155" s="19" t="s">
        <v>433</v>
      </c>
      <c r="B155" s="40"/>
      <c r="C155" s="40" t="s">
        <v>68</v>
      </c>
      <c r="D155" s="40" t="s">
        <v>24</v>
      </c>
      <c r="E155" s="40" t="s">
        <v>350</v>
      </c>
      <c r="F155" s="40" t="s">
        <v>310</v>
      </c>
      <c r="G155" s="29"/>
      <c r="I155" s="47"/>
      <c r="J155" s="28">
        <v>984.14</v>
      </c>
      <c r="K155" s="47">
        <f t="shared" si="151"/>
        <v>984.14</v>
      </c>
      <c r="M155" s="47">
        <f t="shared" si="156"/>
        <v>984.14</v>
      </c>
      <c r="O155" s="47">
        <f t="shared" si="157"/>
        <v>984.14</v>
      </c>
      <c r="P155" s="30"/>
      <c r="Q155" s="47">
        <f t="shared" si="158"/>
        <v>984.14</v>
      </c>
      <c r="S155" s="47">
        <f t="shared" si="159"/>
        <v>984.14</v>
      </c>
      <c r="V155" s="47">
        <f>S155+U155</f>
        <v>984.14</v>
      </c>
      <c r="X155" s="47">
        <f>V155+W155</f>
        <v>984.14</v>
      </c>
      <c r="Z155" s="47">
        <f>X155+Y155</f>
        <v>984.14</v>
      </c>
      <c r="AA155" s="86">
        <v>535.30999999999995</v>
      </c>
      <c r="AB155" s="85">
        <f t="shared" si="141"/>
        <v>0.54393683825471983</v>
      </c>
    </row>
    <row r="156" spans="1:28" x14ac:dyDescent="0.25">
      <c r="A156" s="42" t="s">
        <v>251</v>
      </c>
      <c r="B156" s="35"/>
      <c r="C156" s="35" t="s">
        <v>109</v>
      </c>
      <c r="D156" s="35"/>
      <c r="E156" s="35"/>
      <c r="F156" s="35"/>
      <c r="G156" s="36">
        <f>G157</f>
        <v>800</v>
      </c>
      <c r="I156" s="48">
        <f>I157</f>
        <v>1100</v>
      </c>
      <c r="K156" s="48">
        <f>K157</f>
        <v>1100</v>
      </c>
      <c r="M156" s="48">
        <f>M157</f>
        <v>1100</v>
      </c>
      <c r="O156" s="48">
        <f>O157</f>
        <v>1100</v>
      </c>
      <c r="P156" s="30"/>
      <c r="Q156" s="48">
        <f>Q157</f>
        <v>1100</v>
      </c>
      <c r="S156" s="48">
        <f>S157</f>
        <v>1214</v>
      </c>
      <c r="V156" s="48">
        <f>V157</f>
        <v>1214</v>
      </c>
      <c r="X156" s="48">
        <f>X157+X163</f>
        <v>1314</v>
      </c>
      <c r="Z156" s="48">
        <f>Z157+Z162</f>
        <v>1314</v>
      </c>
      <c r="AA156" s="48">
        <f>AA157+AA162</f>
        <v>1065.7</v>
      </c>
      <c r="AB156" s="87">
        <f t="shared" si="141"/>
        <v>0.81103500761035008</v>
      </c>
    </row>
    <row r="157" spans="1:28" x14ac:dyDescent="0.25">
      <c r="A157" s="42" t="s">
        <v>207</v>
      </c>
      <c r="B157" s="35"/>
      <c r="C157" s="35" t="s">
        <v>109</v>
      </c>
      <c r="D157" s="35" t="s">
        <v>15</v>
      </c>
      <c r="E157" s="35"/>
      <c r="F157" s="35"/>
      <c r="G157" s="36">
        <f>G158</f>
        <v>800</v>
      </c>
      <c r="I157" s="48">
        <f>I158</f>
        <v>1100</v>
      </c>
      <c r="K157" s="48">
        <f>K158</f>
        <v>1100</v>
      </c>
      <c r="M157" s="48">
        <f>M158</f>
        <v>1100</v>
      </c>
      <c r="O157" s="48">
        <f>O158</f>
        <v>1100</v>
      </c>
      <c r="P157" s="30"/>
      <c r="Q157" s="48">
        <f>Q158</f>
        <v>1100</v>
      </c>
      <c r="S157" s="48">
        <f>S158+S160</f>
        <v>1214</v>
      </c>
      <c r="V157" s="48">
        <f>V158+V160</f>
        <v>1214</v>
      </c>
      <c r="X157" s="48">
        <f>X158+X160</f>
        <v>1214</v>
      </c>
      <c r="Z157" s="48">
        <f>Z158+Z160</f>
        <v>1214</v>
      </c>
      <c r="AA157" s="48">
        <f>AA158+AA160</f>
        <v>994.5</v>
      </c>
      <c r="AB157" s="87">
        <f t="shared" si="141"/>
        <v>0.81919275123558488</v>
      </c>
    </row>
    <row r="158" spans="1:28" ht="15.75" customHeight="1" x14ac:dyDescent="0.25">
      <c r="A158" s="19" t="s">
        <v>577</v>
      </c>
      <c r="B158" s="40"/>
      <c r="C158" s="40" t="s">
        <v>109</v>
      </c>
      <c r="D158" s="40" t="s">
        <v>15</v>
      </c>
      <c r="E158" s="40" t="s">
        <v>250</v>
      </c>
      <c r="F158" s="40"/>
      <c r="G158" s="29">
        <f>G159</f>
        <v>800</v>
      </c>
      <c r="I158" s="47">
        <f>I159</f>
        <v>1100</v>
      </c>
      <c r="K158" s="47">
        <f>K159</f>
        <v>1100</v>
      </c>
      <c r="M158" s="47">
        <f>M159</f>
        <v>1100</v>
      </c>
      <c r="O158" s="47">
        <f>O159</f>
        <v>1100</v>
      </c>
      <c r="P158" s="30"/>
      <c r="Q158" s="47">
        <f>Q159</f>
        <v>1100</v>
      </c>
      <c r="S158" s="47">
        <f>S159</f>
        <v>1100</v>
      </c>
      <c r="V158" s="47">
        <f>V159</f>
        <v>1100</v>
      </c>
      <c r="X158" s="47">
        <f>X159</f>
        <v>1100</v>
      </c>
      <c r="Z158" s="47">
        <f>Z159</f>
        <v>1100</v>
      </c>
      <c r="AA158" s="47">
        <f>AA159</f>
        <v>968.5</v>
      </c>
      <c r="AB158" s="85">
        <f t="shared" si="141"/>
        <v>0.88045454545454549</v>
      </c>
    </row>
    <row r="159" spans="1:28" ht="15" customHeight="1" x14ac:dyDescent="0.25">
      <c r="A159" s="19" t="s">
        <v>244</v>
      </c>
      <c r="B159" s="40"/>
      <c r="C159" s="40" t="s">
        <v>109</v>
      </c>
      <c r="D159" s="40" t="s">
        <v>15</v>
      </c>
      <c r="E159" s="40" t="s">
        <v>250</v>
      </c>
      <c r="F159" s="40" t="s">
        <v>225</v>
      </c>
      <c r="G159" s="29">
        <v>800</v>
      </c>
      <c r="H159" s="52">
        <v>300</v>
      </c>
      <c r="I159" s="47">
        <f t="shared" ref="I159:K159" si="160">G159+H159</f>
        <v>1100</v>
      </c>
      <c r="K159" s="47">
        <f t="shared" si="160"/>
        <v>1100</v>
      </c>
      <c r="M159" s="47">
        <f t="shared" ref="M159" si="161">K159+L159</f>
        <v>1100</v>
      </c>
      <c r="O159" s="47">
        <f t="shared" ref="O159" si="162">M159+N159</f>
        <v>1100</v>
      </c>
      <c r="P159" s="30"/>
      <c r="Q159" s="47">
        <f t="shared" ref="Q159" si="163">O159+P159</f>
        <v>1100</v>
      </c>
      <c r="S159" s="47">
        <f t="shared" ref="S159:S161" si="164">Q159+R159</f>
        <v>1100</v>
      </c>
      <c r="V159" s="47">
        <f>S159+U159</f>
        <v>1100</v>
      </c>
      <c r="X159" s="47">
        <f>V159+W159</f>
        <v>1100</v>
      </c>
      <c r="Z159" s="47">
        <f>X159+Y159</f>
        <v>1100</v>
      </c>
      <c r="AA159" s="86">
        <f>994.5-26</f>
        <v>968.5</v>
      </c>
      <c r="AB159" s="85">
        <f t="shared" si="141"/>
        <v>0.88045454545454549</v>
      </c>
    </row>
    <row r="160" spans="1:28" ht="15" customHeight="1" x14ac:dyDescent="0.25">
      <c r="A160" s="19" t="s">
        <v>578</v>
      </c>
      <c r="B160" s="40"/>
      <c r="C160" s="40" t="s">
        <v>109</v>
      </c>
      <c r="D160" s="40" t="s">
        <v>15</v>
      </c>
      <c r="E160" s="40" t="s">
        <v>579</v>
      </c>
      <c r="F160" s="40"/>
      <c r="G160" s="29"/>
      <c r="I160" s="47"/>
      <c r="K160" s="47"/>
      <c r="M160" s="47"/>
      <c r="O160" s="47"/>
      <c r="P160" s="30"/>
      <c r="Q160" s="47"/>
      <c r="S160" s="47">
        <f>S161</f>
        <v>114</v>
      </c>
      <c r="V160" s="47">
        <f>V161</f>
        <v>114</v>
      </c>
      <c r="X160" s="47">
        <f>X161</f>
        <v>114</v>
      </c>
      <c r="Z160" s="47">
        <f>Z161</f>
        <v>114</v>
      </c>
      <c r="AA160" s="47">
        <f>AA161</f>
        <v>26</v>
      </c>
      <c r="AB160" s="85">
        <f t="shared" si="141"/>
        <v>0.22807017543859648</v>
      </c>
    </row>
    <row r="161" spans="1:29" ht="15" customHeight="1" x14ac:dyDescent="0.25">
      <c r="A161" s="19" t="s">
        <v>244</v>
      </c>
      <c r="B161" s="40"/>
      <c r="C161" s="40" t="s">
        <v>109</v>
      </c>
      <c r="D161" s="40" t="s">
        <v>15</v>
      </c>
      <c r="E161" s="40" t="s">
        <v>579</v>
      </c>
      <c r="F161" s="40" t="s">
        <v>225</v>
      </c>
      <c r="G161" s="29"/>
      <c r="I161" s="47"/>
      <c r="K161" s="47"/>
      <c r="M161" s="47"/>
      <c r="O161" s="47"/>
      <c r="P161" s="30"/>
      <c r="Q161" s="47"/>
      <c r="R161" s="30">
        <v>114</v>
      </c>
      <c r="S161" s="47">
        <f t="shared" si="164"/>
        <v>114</v>
      </c>
      <c r="V161" s="47">
        <f>S161+U161</f>
        <v>114</v>
      </c>
      <c r="X161" s="47">
        <f>V161+W161</f>
        <v>114</v>
      </c>
      <c r="Z161" s="47">
        <f>X161+Y161</f>
        <v>114</v>
      </c>
      <c r="AA161" s="86">
        <f>4+22</f>
        <v>26</v>
      </c>
      <c r="AB161" s="85">
        <f t="shared" si="141"/>
        <v>0.22807017543859648</v>
      </c>
    </row>
    <row r="162" spans="1:29" ht="15" customHeight="1" x14ac:dyDescent="0.25">
      <c r="A162" s="42" t="s">
        <v>645</v>
      </c>
      <c r="B162" s="35"/>
      <c r="C162" s="35" t="s">
        <v>109</v>
      </c>
      <c r="D162" s="35" t="s">
        <v>17</v>
      </c>
      <c r="E162" s="35"/>
      <c r="F162" s="35"/>
      <c r="G162" s="36"/>
      <c r="H162" s="56"/>
      <c r="I162" s="48"/>
      <c r="J162" s="57"/>
      <c r="K162" s="48"/>
      <c r="L162" s="66"/>
      <c r="M162" s="48"/>
      <c r="N162" s="66"/>
      <c r="O162" s="48"/>
      <c r="P162" s="66"/>
      <c r="Q162" s="48"/>
      <c r="R162" s="66"/>
      <c r="S162" s="48"/>
      <c r="T162" s="83"/>
      <c r="U162" s="66"/>
      <c r="V162" s="48"/>
      <c r="W162" s="66"/>
      <c r="X162" s="48"/>
      <c r="Y162" s="66"/>
      <c r="Z162" s="48">
        <f>Z163</f>
        <v>100</v>
      </c>
      <c r="AA162" s="48">
        <f>AA163</f>
        <v>71.2</v>
      </c>
      <c r="AB162" s="85">
        <f t="shared" si="141"/>
        <v>0.71200000000000008</v>
      </c>
    </row>
    <row r="163" spans="1:29" ht="15" customHeight="1" x14ac:dyDescent="0.25">
      <c r="A163" s="19" t="s">
        <v>636</v>
      </c>
      <c r="B163" s="40"/>
      <c r="C163" s="40" t="s">
        <v>109</v>
      </c>
      <c r="D163" s="40" t="s">
        <v>17</v>
      </c>
      <c r="E163" s="40" t="s">
        <v>635</v>
      </c>
      <c r="F163" s="40"/>
      <c r="G163" s="29"/>
      <c r="I163" s="47"/>
      <c r="K163" s="47"/>
      <c r="M163" s="47"/>
      <c r="O163" s="47"/>
      <c r="P163" s="30"/>
      <c r="Q163" s="47"/>
      <c r="S163" s="47"/>
      <c r="V163" s="47"/>
      <c r="X163" s="47">
        <f>X164</f>
        <v>100</v>
      </c>
      <c r="Z163" s="47">
        <f>Z164</f>
        <v>100</v>
      </c>
      <c r="AA163" s="47">
        <f>AA164</f>
        <v>71.2</v>
      </c>
      <c r="AB163" s="85">
        <f t="shared" si="141"/>
        <v>0.71200000000000008</v>
      </c>
    </row>
    <row r="164" spans="1:29" ht="15" customHeight="1" x14ac:dyDescent="0.25">
      <c r="A164" s="19" t="s">
        <v>244</v>
      </c>
      <c r="B164" s="40"/>
      <c r="C164" s="40" t="s">
        <v>109</v>
      </c>
      <c r="D164" s="40" t="s">
        <v>17</v>
      </c>
      <c r="E164" s="40" t="s">
        <v>635</v>
      </c>
      <c r="F164" s="40" t="s">
        <v>225</v>
      </c>
      <c r="G164" s="29"/>
      <c r="I164" s="47"/>
      <c r="K164" s="47"/>
      <c r="M164" s="47"/>
      <c r="O164" s="47"/>
      <c r="P164" s="30"/>
      <c r="Q164" s="47"/>
      <c r="S164" s="47"/>
      <c r="V164" s="47"/>
      <c r="W164" s="30">
        <v>100</v>
      </c>
      <c r="X164" s="47">
        <f>V164+W164</f>
        <v>100</v>
      </c>
      <c r="Z164" s="47">
        <f>X164+Y164</f>
        <v>100</v>
      </c>
      <c r="AA164" s="86">
        <v>71.2</v>
      </c>
      <c r="AB164" s="85">
        <f t="shared" si="141"/>
        <v>0.71200000000000008</v>
      </c>
    </row>
    <row r="165" spans="1:29" ht="17.25" customHeight="1" x14ac:dyDescent="0.25">
      <c r="A165" s="44" t="s">
        <v>396</v>
      </c>
      <c r="B165" s="35" t="s">
        <v>252</v>
      </c>
      <c r="C165" s="35"/>
      <c r="D165" s="35"/>
      <c r="E165" s="35"/>
      <c r="F165" s="35"/>
      <c r="G165" s="36">
        <f>G166</f>
        <v>3316.4</v>
      </c>
      <c r="I165" s="48">
        <f>I166</f>
        <v>3416.7</v>
      </c>
      <c r="K165" s="48">
        <f>K166</f>
        <v>3416.7</v>
      </c>
      <c r="M165" s="48">
        <f>M166</f>
        <v>3328.38</v>
      </c>
      <c r="O165" s="48">
        <f>O166</f>
        <v>3328.38</v>
      </c>
      <c r="P165" s="30"/>
      <c r="Q165" s="48">
        <f>Q166</f>
        <v>3328.38</v>
      </c>
      <c r="S165" s="48">
        <f>S166</f>
        <v>3152.38</v>
      </c>
      <c r="V165" s="48">
        <f>V166</f>
        <v>3152.38</v>
      </c>
      <c r="X165" s="48">
        <f>X166</f>
        <v>2993.66</v>
      </c>
      <c r="Z165" s="48">
        <f>Z166</f>
        <v>2993.66</v>
      </c>
      <c r="AA165" s="48">
        <f>AA166</f>
        <v>2609.5500000000002</v>
      </c>
      <c r="AB165" s="87">
        <f t="shared" si="141"/>
        <v>0.87169217613222616</v>
      </c>
    </row>
    <row r="166" spans="1:29" x14ac:dyDescent="0.25">
      <c r="A166" s="42" t="s">
        <v>134</v>
      </c>
      <c r="B166" s="35"/>
      <c r="C166" s="35" t="s">
        <v>15</v>
      </c>
      <c r="D166" s="35"/>
      <c r="E166" s="35"/>
      <c r="F166" s="35"/>
      <c r="G166" s="36">
        <f>G167</f>
        <v>3316.4</v>
      </c>
      <c r="I166" s="48">
        <f>I167</f>
        <v>3416.7</v>
      </c>
      <c r="K166" s="48">
        <f>K167</f>
        <v>3416.7</v>
      </c>
      <c r="M166" s="48">
        <f>M167</f>
        <v>3328.38</v>
      </c>
      <c r="O166" s="48">
        <f>O167</f>
        <v>3328.38</v>
      </c>
      <c r="P166" s="30"/>
      <c r="Q166" s="48">
        <f>Q167</f>
        <v>3328.38</v>
      </c>
      <c r="S166" s="48">
        <f>S167</f>
        <v>3152.38</v>
      </c>
      <c r="V166" s="48">
        <f>V167</f>
        <v>3152.38</v>
      </c>
      <c r="X166" s="48">
        <f>X167</f>
        <v>2993.66</v>
      </c>
      <c r="Z166" s="48">
        <f>Z167</f>
        <v>2993.66</v>
      </c>
      <c r="AA166" s="48">
        <f>AA167</f>
        <v>2609.5500000000002</v>
      </c>
      <c r="AB166" s="87">
        <f t="shared" si="141"/>
        <v>0.87169217613222616</v>
      </c>
    </row>
    <row r="167" spans="1:29" ht="28.5" customHeight="1" x14ac:dyDescent="0.25">
      <c r="A167" s="42" t="s">
        <v>19</v>
      </c>
      <c r="B167" s="35"/>
      <c r="C167" s="35" t="s">
        <v>15</v>
      </c>
      <c r="D167" s="35" t="s">
        <v>20</v>
      </c>
      <c r="E167" s="35"/>
      <c r="F167" s="35"/>
      <c r="G167" s="36">
        <f>G168+G176</f>
        <v>3316.4</v>
      </c>
      <c r="I167" s="48">
        <f>I168+I176</f>
        <v>3416.7</v>
      </c>
      <c r="K167" s="48">
        <f>K168+K176</f>
        <v>3416.7</v>
      </c>
      <c r="M167" s="48">
        <f>M168+M176</f>
        <v>3328.38</v>
      </c>
      <c r="O167" s="48">
        <f>O168+O176</f>
        <v>3328.38</v>
      </c>
      <c r="P167" s="30"/>
      <c r="Q167" s="48">
        <f>Q168+Q176</f>
        <v>3328.38</v>
      </c>
      <c r="S167" s="48">
        <f>S168+S176</f>
        <v>3152.38</v>
      </c>
      <c r="V167" s="48">
        <f>V168+V176</f>
        <v>3152.38</v>
      </c>
      <c r="X167" s="48">
        <f>X168+X176</f>
        <v>2993.66</v>
      </c>
      <c r="Z167" s="48">
        <f>Z168+Z176</f>
        <v>2993.66</v>
      </c>
      <c r="AA167" s="48">
        <f>AA168+AA176</f>
        <v>2609.5500000000002</v>
      </c>
      <c r="AB167" s="87">
        <f t="shared" si="141"/>
        <v>0.87169217613222616</v>
      </c>
    </row>
    <row r="168" spans="1:29" x14ac:dyDescent="0.25">
      <c r="A168" s="19" t="s">
        <v>253</v>
      </c>
      <c r="B168" s="40"/>
      <c r="C168" s="40" t="s">
        <v>15</v>
      </c>
      <c r="D168" s="40" t="s">
        <v>20</v>
      </c>
      <c r="E168" s="40" t="s">
        <v>23</v>
      </c>
      <c r="F168" s="40"/>
      <c r="G168" s="29">
        <f>G169+G172</f>
        <v>1873</v>
      </c>
      <c r="I168" s="47">
        <f>I169+I172</f>
        <v>1973.3</v>
      </c>
      <c r="K168" s="47">
        <f>K169+K172</f>
        <v>1973.3</v>
      </c>
      <c r="M168" s="47">
        <f>M169+M172</f>
        <v>1884.98</v>
      </c>
      <c r="O168" s="47">
        <f>O169+O172</f>
        <v>1884.98</v>
      </c>
      <c r="P168" s="30"/>
      <c r="Q168" s="47">
        <f>Q169+Q172</f>
        <v>1884.98</v>
      </c>
      <c r="S168" s="47">
        <f>S169+S172</f>
        <v>1708.98</v>
      </c>
      <c r="V168" s="47">
        <f>V169+V172</f>
        <v>1708.98</v>
      </c>
      <c r="X168" s="47">
        <f>X169+X172</f>
        <v>1612.16</v>
      </c>
      <c r="Z168" s="47">
        <f>Z169+Z172+Z175</f>
        <v>1612.16</v>
      </c>
      <c r="AA168" s="47">
        <f>AA169+AA172+AA175</f>
        <v>1463.77</v>
      </c>
      <c r="AB168" s="85">
        <f t="shared" si="141"/>
        <v>0.90795578602620086</v>
      </c>
    </row>
    <row r="169" spans="1:29" x14ac:dyDescent="0.25">
      <c r="A169" s="19" t="s">
        <v>215</v>
      </c>
      <c r="B169" s="40"/>
      <c r="C169" s="40" t="s">
        <v>15</v>
      </c>
      <c r="D169" s="40" t="s">
        <v>20</v>
      </c>
      <c r="E169" s="40" t="s">
        <v>23</v>
      </c>
      <c r="F169" s="40" t="s">
        <v>216</v>
      </c>
      <c r="G169" s="29">
        <f>G170+G171</f>
        <v>1165.3</v>
      </c>
      <c r="I169" s="47">
        <f>I170+I171</f>
        <v>1265.5999999999999</v>
      </c>
      <c r="K169" s="47">
        <f>K170+K171</f>
        <v>1265.5999999999999</v>
      </c>
      <c r="M169" s="47">
        <f>M170+M171</f>
        <v>1177.28</v>
      </c>
      <c r="O169" s="47">
        <f>O170+O171</f>
        <v>1177.28</v>
      </c>
      <c r="P169" s="30"/>
      <c r="Q169" s="47">
        <f>Q170+Q171</f>
        <v>1177.28</v>
      </c>
      <c r="S169" s="47">
        <f>S170+S171</f>
        <v>1177.28</v>
      </c>
      <c r="V169" s="47">
        <f>V170+V171</f>
        <v>1177.28</v>
      </c>
      <c r="X169" s="47">
        <f>X170+X171</f>
        <v>1080.46</v>
      </c>
      <c r="Z169" s="47">
        <f>Z170+Z171</f>
        <v>1038.46</v>
      </c>
      <c r="AA169" s="47">
        <f>AA170+AA171</f>
        <v>936.99</v>
      </c>
      <c r="AB169" s="85">
        <f t="shared" si="141"/>
        <v>0.90228800338963466</v>
      </c>
    </row>
    <row r="170" spans="1:29" x14ac:dyDescent="0.25">
      <c r="A170" s="19" t="s">
        <v>217</v>
      </c>
      <c r="B170" s="40"/>
      <c r="C170" s="40" t="s">
        <v>15</v>
      </c>
      <c r="D170" s="40" t="s">
        <v>20</v>
      </c>
      <c r="E170" s="40" t="s">
        <v>23</v>
      </c>
      <c r="F170" s="40" t="s">
        <v>218</v>
      </c>
      <c r="G170" s="29">
        <f>831.1+284.2</f>
        <v>1115.3</v>
      </c>
      <c r="H170" s="52">
        <v>100.3</v>
      </c>
      <c r="I170" s="47">
        <f t="shared" ref="I170:K177" si="165">G170+H170</f>
        <v>1215.5999999999999</v>
      </c>
      <c r="K170" s="47">
        <f t="shared" si="165"/>
        <v>1215.5999999999999</v>
      </c>
      <c r="L170" s="30">
        <v>-88.32</v>
      </c>
      <c r="M170" s="47">
        <f t="shared" ref="M170:M171" si="166">K170+L170</f>
        <v>1127.28</v>
      </c>
      <c r="O170" s="47">
        <f t="shared" ref="O170:O171" si="167">M170+N170</f>
        <v>1127.28</v>
      </c>
      <c r="P170" s="30"/>
      <c r="Q170" s="47">
        <f t="shared" ref="Q170:Q171" si="168">O170+P170</f>
        <v>1127.28</v>
      </c>
      <c r="S170" s="47">
        <f t="shared" ref="S170:S171" si="169">Q170+R170</f>
        <v>1127.28</v>
      </c>
      <c r="V170" s="47">
        <f>S170+U170</f>
        <v>1127.28</v>
      </c>
      <c r="W170" s="30">
        <v>-96.82</v>
      </c>
      <c r="X170" s="47">
        <f>V170+W170</f>
        <v>1030.46</v>
      </c>
      <c r="Z170" s="47">
        <f>X170+Y170-42</f>
        <v>988.46</v>
      </c>
      <c r="AA170" s="86">
        <v>890.66</v>
      </c>
      <c r="AB170" s="85">
        <f t="shared" si="141"/>
        <v>0.90105821176375367</v>
      </c>
      <c r="AC170" s="50">
        <v>-42</v>
      </c>
    </row>
    <row r="171" spans="1:29" ht="15" customHeight="1" x14ac:dyDescent="0.25">
      <c r="A171" s="19" t="s">
        <v>219</v>
      </c>
      <c r="B171" s="40"/>
      <c r="C171" s="40" t="s">
        <v>15</v>
      </c>
      <c r="D171" s="40" t="s">
        <v>20</v>
      </c>
      <c r="E171" s="40" t="s">
        <v>23</v>
      </c>
      <c r="F171" s="40" t="s">
        <v>220</v>
      </c>
      <c r="G171" s="29">
        <v>50</v>
      </c>
      <c r="I171" s="47">
        <f t="shared" si="165"/>
        <v>50</v>
      </c>
      <c r="K171" s="47">
        <f t="shared" si="165"/>
        <v>50</v>
      </c>
      <c r="M171" s="47">
        <f t="shared" si="166"/>
        <v>50</v>
      </c>
      <c r="O171" s="47">
        <f t="shared" si="167"/>
        <v>50</v>
      </c>
      <c r="P171" s="30"/>
      <c r="Q171" s="47">
        <f t="shared" si="168"/>
        <v>50</v>
      </c>
      <c r="S171" s="47">
        <f t="shared" si="169"/>
        <v>50</v>
      </c>
      <c r="V171" s="47">
        <f>S171+U171</f>
        <v>50</v>
      </c>
      <c r="X171" s="47">
        <f>V171+W171</f>
        <v>50</v>
      </c>
      <c r="Z171" s="47">
        <f>X171+Y171</f>
        <v>50</v>
      </c>
      <c r="AA171" s="86">
        <v>46.33</v>
      </c>
      <c r="AB171" s="85">
        <f t="shared" si="141"/>
        <v>0.92659999999999998</v>
      </c>
    </row>
    <row r="172" spans="1:29" ht="15" customHeight="1" x14ac:dyDescent="0.25">
      <c r="A172" s="19" t="s">
        <v>221</v>
      </c>
      <c r="B172" s="40"/>
      <c r="C172" s="40" t="s">
        <v>15</v>
      </c>
      <c r="D172" s="40" t="s">
        <v>20</v>
      </c>
      <c r="E172" s="40" t="s">
        <v>23</v>
      </c>
      <c r="F172" s="40" t="s">
        <v>222</v>
      </c>
      <c r="G172" s="29">
        <f>G173+G174</f>
        <v>707.7</v>
      </c>
      <c r="I172" s="47">
        <f>I173+I174</f>
        <v>707.7</v>
      </c>
      <c r="K172" s="47">
        <f>K173+K174</f>
        <v>707.7</v>
      </c>
      <c r="M172" s="47">
        <f>M173+M174</f>
        <v>707.7</v>
      </c>
      <c r="O172" s="47">
        <f>O173+O174</f>
        <v>707.7</v>
      </c>
      <c r="P172" s="30"/>
      <c r="Q172" s="47">
        <f>Q173+Q174</f>
        <v>707.7</v>
      </c>
      <c r="S172" s="47">
        <f>S173+S174</f>
        <v>531.70000000000005</v>
      </c>
      <c r="V172" s="47">
        <f>V173+V174</f>
        <v>531.70000000000005</v>
      </c>
      <c r="X172" s="47">
        <f>X173+X174</f>
        <v>531.70000000000005</v>
      </c>
      <c r="Z172" s="47">
        <f>Z173+Z174</f>
        <v>558.70000000000005</v>
      </c>
      <c r="AA172" s="47">
        <f>AA173+AA174</f>
        <v>525.76</v>
      </c>
      <c r="AB172" s="85">
        <f t="shared" si="141"/>
        <v>0.94104170395561115</v>
      </c>
    </row>
    <row r="173" spans="1:29" ht="16.5" customHeight="1" x14ac:dyDescent="0.25">
      <c r="A173" s="19" t="s">
        <v>223</v>
      </c>
      <c r="B173" s="40"/>
      <c r="C173" s="40" t="s">
        <v>15</v>
      </c>
      <c r="D173" s="40" t="s">
        <v>20</v>
      </c>
      <c r="E173" s="40" t="s">
        <v>23</v>
      </c>
      <c r="F173" s="40" t="s">
        <v>224</v>
      </c>
      <c r="G173" s="29">
        <v>62</v>
      </c>
      <c r="I173" s="47">
        <f t="shared" si="165"/>
        <v>62</v>
      </c>
      <c r="J173" s="28">
        <v>16.88</v>
      </c>
      <c r="K173" s="47">
        <f t="shared" si="165"/>
        <v>78.88</v>
      </c>
      <c r="M173" s="47">
        <f t="shared" ref="M173:M174" si="170">K173+L173</f>
        <v>78.88</v>
      </c>
      <c r="O173" s="47">
        <f t="shared" ref="O173:O174" si="171">M173+N173</f>
        <v>78.88</v>
      </c>
      <c r="P173" s="30"/>
      <c r="Q173" s="47">
        <f t="shared" ref="Q173:Q174" si="172">O173+P173</f>
        <v>78.88</v>
      </c>
      <c r="S173" s="47">
        <f t="shared" ref="S173:S174" si="173">Q173+R173</f>
        <v>78.88</v>
      </c>
      <c r="V173" s="47">
        <f>S173+U173</f>
        <v>78.88</v>
      </c>
      <c r="X173" s="47">
        <f>V173+W173</f>
        <v>78.88</v>
      </c>
      <c r="Z173" s="47">
        <f>X173+Y173+213.34</f>
        <v>292.22000000000003</v>
      </c>
      <c r="AA173" s="86">
        <v>276.69</v>
      </c>
      <c r="AB173" s="85">
        <f t="shared" si="141"/>
        <v>0.94685510916432813</v>
      </c>
      <c r="AC173" s="50">
        <v>213.34</v>
      </c>
    </row>
    <row r="174" spans="1:29" ht="15" customHeight="1" x14ac:dyDescent="0.25">
      <c r="A174" s="19" t="s">
        <v>244</v>
      </c>
      <c r="B174" s="40"/>
      <c r="C174" s="40" t="s">
        <v>15</v>
      </c>
      <c r="D174" s="40" t="s">
        <v>20</v>
      </c>
      <c r="E174" s="40" t="s">
        <v>23</v>
      </c>
      <c r="F174" s="40" t="s">
        <v>225</v>
      </c>
      <c r="G174" s="29">
        <f>70+28+327.7+50+100+70</f>
        <v>645.70000000000005</v>
      </c>
      <c r="I174" s="47">
        <f t="shared" si="165"/>
        <v>645.70000000000005</v>
      </c>
      <c r="J174" s="28">
        <v>-16.88</v>
      </c>
      <c r="K174" s="47">
        <f t="shared" si="165"/>
        <v>628.82000000000005</v>
      </c>
      <c r="M174" s="47">
        <f t="shared" si="170"/>
        <v>628.82000000000005</v>
      </c>
      <c r="O174" s="47">
        <f t="shared" si="171"/>
        <v>628.82000000000005</v>
      </c>
      <c r="P174" s="30"/>
      <c r="Q174" s="47">
        <f t="shared" si="172"/>
        <v>628.82000000000005</v>
      </c>
      <c r="R174" s="30">
        <f>-86-90</f>
        <v>-176</v>
      </c>
      <c r="S174" s="47">
        <f t="shared" si="173"/>
        <v>452.82000000000005</v>
      </c>
      <c r="V174" s="47">
        <f>S174+U174</f>
        <v>452.82000000000005</v>
      </c>
      <c r="X174" s="47">
        <f>V174+W174</f>
        <v>452.82000000000005</v>
      </c>
      <c r="Z174" s="47">
        <f>X174+Y174-186.34</f>
        <v>266.48</v>
      </c>
      <c r="AA174" s="86">
        <v>249.07</v>
      </c>
      <c r="AB174" s="85">
        <f t="shared" si="141"/>
        <v>0.93466676673671556</v>
      </c>
      <c r="AC174" s="50">
        <v>-186.34</v>
      </c>
    </row>
    <row r="175" spans="1:29" ht="15" customHeight="1" x14ac:dyDescent="0.25">
      <c r="A175" s="19" t="s">
        <v>324</v>
      </c>
      <c r="B175" s="40"/>
      <c r="C175" s="40" t="s">
        <v>15</v>
      </c>
      <c r="D175" s="40" t="s">
        <v>20</v>
      </c>
      <c r="E175" s="40" t="s">
        <v>23</v>
      </c>
      <c r="F175" s="40" t="s">
        <v>323</v>
      </c>
      <c r="G175" s="29"/>
      <c r="I175" s="47"/>
      <c r="K175" s="47"/>
      <c r="M175" s="47"/>
      <c r="O175" s="47"/>
      <c r="P175" s="30"/>
      <c r="Q175" s="47"/>
      <c r="S175" s="47"/>
      <c r="V175" s="47"/>
      <c r="X175" s="47"/>
      <c r="Z175" s="47">
        <v>15</v>
      </c>
      <c r="AA175" s="86">
        <v>1.02</v>
      </c>
      <c r="AB175" s="85">
        <f t="shared" si="141"/>
        <v>6.8000000000000005E-2</v>
      </c>
      <c r="AC175" s="50">
        <v>15</v>
      </c>
    </row>
    <row r="176" spans="1:29" ht="14.25" customHeight="1" x14ac:dyDescent="0.25">
      <c r="A176" s="19" t="s">
        <v>255</v>
      </c>
      <c r="B176" s="40"/>
      <c r="C176" s="40" t="s">
        <v>15</v>
      </c>
      <c r="D176" s="40" t="s">
        <v>20</v>
      </c>
      <c r="E176" s="40" t="s">
        <v>254</v>
      </c>
      <c r="F176" s="40"/>
      <c r="G176" s="29">
        <f>G177</f>
        <v>1443.4</v>
      </c>
      <c r="I176" s="47">
        <f>I177</f>
        <v>1443.4</v>
      </c>
      <c r="K176" s="47">
        <f>K177</f>
        <v>1443.4</v>
      </c>
      <c r="M176" s="47">
        <f>M177</f>
        <v>1443.4</v>
      </c>
      <c r="O176" s="47">
        <f>O177</f>
        <v>1443.4</v>
      </c>
      <c r="P176" s="30"/>
      <c r="Q176" s="47">
        <f>Q177</f>
        <v>1443.4</v>
      </c>
      <c r="S176" s="47">
        <f>S177</f>
        <v>1443.4</v>
      </c>
      <c r="V176" s="47">
        <f>V177</f>
        <v>1443.4</v>
      </c>
      <c r="X176" s="47">
        <f>X177</f>
        <v>1381.5</v>
      </c>
      <c r="Z176" s="47">
        <f>Z177</f>
        <v>1381.5</v>
      </c>
      <c r="AA176" s="47">
        <f>AA177</f>
        <v>1145.78</v>
      </c>
      <c r="AB176" s="85">
        <f t="shared" si="141"/>
        <v>0.82937386898298948</v>
      </c>
    </row>
    <row r="177" spans="1:28" x14ac:dyDescent="0.25">
      <c r="A177" s="19" t="s">
        <v>217</v>
      </c>
      <c r="B177" s="40"/>
      <c r="C177" s="40" t="s">
        <v>15</v>
      </c>
      <c r="D177" s="40" t="s">
        <v>20</v>
      </c>
      <c r="E177" s="40" t="s">
        <v>254</v>
      </c>
      <c r="F177" s="40" t="s">
        <v>218</v>
      </c>
      <c r="G177" s="29">
        <f>1125.7+317.7</f>
        <v>1443.4</v>
      </c>
      <c r="I177" s="47">
        <f t="shared" si="165"/>
        <v>1443.4</v>
      </c>
      <c r="K177" s="47">
        <f t="shared" si="165"/>
        <v>1443.4</v>
      </c>
      <c r="M177" s="47">
        <f t="shared" ref="M177" si="174">K177+L177</f>
        <v>1443.4</v>
      </c>
      <c r="O177" s="47">
        <f t="shared" ref="O177" si="175">M177+N177</f>
        <v>1443.4</v>
      </c>
      <c r="P177" s="30"/>
      <c r="Q177" s="47">
        <f t="shared" ref="Q177" si="176">O177+P177</f>
        <v>1443.4</v>
      </c>
      <c r="S177" s="47">
        <f t="shared" ref="S177" si="177">Q177+R177</f>
        <v>1443.4</v>
      </c>
      <c r="V177" s="47">
        <f>S177+U177</f>
        <v>1443.4</v>
      </c>
      <c r="W177" s="30">
        <v>-61.9</v>
      </c>
      <c r="X177" s="47">
        <f>V177+W177</f>
        <v>1381.5</v>
      </c>
      <c r="Z177" s="47">
        <f>X177+Y177</f>
        <v>1381.5</v>
      </c>
      <c r="AA177" s="86">
        <v>1145.78</v>
      </c>
      <c r="AB177" s="85">
        <f t="shared" si="141"/>
        <v>0.82937386898298948</v>
      </c>
    </row>
    <row r="178" spans="1:28" ht="30" customHeight="1" x14ac:dyDescent="0.25">
      <c r="A178" s="44" t="s">
        <v>555</v>
      </c>
      <c r="B178" s="35" t="s">
        <v>5</v>
      </c>
      <c r="C178" s="35"/>
      <c r="D178" s="35"/>
      <c r="E178" s="35"/>
      <c r="F178" s="35"/>
      <c r="G178" s="36">
        <f>G179+G198+G205+G214+G319+G328+G336+G340+G309</f>
        <v>161401.59999999998</v>
      </c>
      <c r="I178" s="48">
        <f>I179+I198+I205+I214+I319+I328+I336+I340+I309+I315</f>
        <v>176227.09</v>
      </c>
      <c r="K178" s="48">
        <f>K179+K198+K205+K214+K319+K328+K336+K340+K309+K315</f>
        <v>186461.95</v>
      </c>
      <c r="M178" s="48">
        <f>M179+M198+M205+M214+M319+M328+M336+M340+M309+M315</f>
        <v>200823.10999999996</v>
      </c>
      <c r="O178" s="48">
        <f>O179+O198+O205+O214+O319+O328+O336+O340+O309+O315</f>
        <v>203261.39999999997</v>
      </c>
      <c r="P178" s="30"/>
      <c r="Q178" s="48">
        <f>Q179+Q198+Q205+Q214+Q319+Q328+Q336+Q340+Q309+Q315</f>
        <v>203261.39999999997</v>
      </c>
      <c r="S178" s="48">
        <f>S179+S198+S205+S214+S319+S328+S336+S340+S309+S315</f>
        <v>204246.84999999998</v>
      </c>
      <c r="V178" s="48">
        <f>V179+V198+V205+V214+V319+V328+V336+V340+V309+V315</f>
        <v>206646.84999999998</v>
      </c>
      <c r="X178" s="48">
        <f>X179+X198+X205+X214+X319+X328+X336+X340+X309+X315</f>
        <v>208380.86</v>
      </c>
      <c r="Z178" s="48">
        <f>Z179+Z198+Z205+Z214+Z319+Z328+Z336+Z340+Z309+Z315</f>
        <v>205631.62</v>
      </c>
      <c r="AA178" s="48">
        <f>AA179+AA198+AA205+AA214+AA319+AA328+AA336+AA340+AA309+AA315</f>
        <v>203915.81999999998</v>
      </c>
      <c r="AB178" s="87">
        <f t="shared" si="141"/>
        <v>0.99165595252325489</v>
      </c>
    </row>
    <row r="179" spans="1:28" x14ac:dyDescent="0.25">
      <c r="A179" s="42" t="s">
        <v>134</v>
      </c>
      <c r="B179" s="35"/>
      <c r="C179" s="35" t="s">
        <v>15</v>
      </c>
      <c r="D179" s="35"/>
      <c r="E179" s="35"/>
      <c r="F179" s="35"/>
      <c r="G179" s="36">
        <f>G180</f>
        <v>7631.7</v>
      </c>
      <c r="I179" s="48">
        <f>I180+I189+I192+I194+I196</f>
        <v>8072.4</v>
      </c>
      <c r="J179" s="48">
        <f t="shared" ref="J179:AA179" si="178">J180+J189+J192+J194+J196</f>
        <v>0</v>
      </c>
      <c r="K179" s="48">
        <f t="shared" si="178"/>
        <v>11138.859999999999</v>
      </c>
      <c r="L179" s="48">
        <f t="shared" si="178"/>
        <v>0</v>
      </c>
      <c r="M179" s="48">
        <f t="shared" si="178"/>
        <v>17642.509999999998</v>
      </c>
      <c r="N179" s="48">
        <f t="shared" si="178"/>
        <v>0</v>
      </c>
      <c r="O179" s="48">
        <f t="shared" si="178"/>
        <v>16718.89</v>
      </c>
      <c r="P179" s="48">
        <f t="shared" si="178"/>
        <v>0</v>
      </c>
      <c r="Q179" s="48">
        <f t="shared" si="178"/>
        <v>16718.89</v>
      </c>
      <c r="R179" s="48">
        <f t="shared" si="178"/>
        <v>0</v>
      </c>
      <c r="S179" s="48">
        <f t="shared" si="178"/>
        <v>17015.09</v>
      </c>
      <c r="T179" s="48">
        <f t="shared" si="178"/>
        <v>0</v>
      </c>
      <c r="U179" s="48">
        <f t="shared" si="178"/>
        <v>0</v>
      </c>
      <c r="V179" s="48">
        <f t="shared" si="178"/>
        <v>17015.09</v>
      </c>
      <c r="W179" s="48">
        <f t="shared" si="178"/>
        <v>0</v>
      </c>
      <c r="X179" s="48">
        <f t="shared" si="178"/>
        <v>16415.09</v>
      </c>
      <c r="Y179" s="48">
        <f t="shared" si="178"/>
        <v>0</v>
      </c>
      <c r="Z179" s="48">
        <f t="shared" si="178"/>
        <v>11281.630000000001</v>
      </c>
      <c r="AA179" s="48">
        <f t="shared" si="178"/>
        <v>11038.02</v>
      </c>
      <c r="AB179" s="87">
        <f t="shared" si="141"/>
        <v>0.97840648913321915</v>
      </c>
    </row>
    <row r="180" spans="1:28" ht="31.5" x14ac:dyDescent="0.25">
      <c r="A180" s="42" t="s">
        <v>560</v>
      </c>
      <c r="B180" s="35"/>
      <c r="C180" s="35" t="s">
        <v>15</v>
      </c>
      <c r="D180" s="35" t="s">
        <v>98</v>
      </c>
      <c r="E180" s="35"/>
      <c r="F180" s="35"/>
      <c r="G180" s="36">
        <f>G181+G189+G196</f>
        <v>7631.7</v>
      </c>
      <c r="I180" s="48">
        <f>I181</f>
        <v>6163.2</v>
      </c>
      <c r="K180" s="48">
        <f>K181+K189+K196+K192</f>
        <v>8651.0299999999988</v>
      </c>
      <c r="M180" s="48">
        <f>M181+M189+M196+M192</f>
        <v>11845.34</v>
      </c>
      <c r="O180" s="48">
        <f>O181+O189+O196+O192</f>
        <v>11383.529999999999</v>
      </c>
      <c r="P180" s="30"/>
      <c r="Q180" s="48">
        <f>Q181+Q189+Q196+Q192</f>
        <v>11383.529999999999</v>
      </c>
      <c r="S180" s="48">
        <f>S181+S189+S196+S192</f>
        <v>11531.630000000001</v>
      </c>
      <c r="V180" s="48">
        <f>V181+V189+V196+V192</f>
        <v>11531.630000000001</v>
      </c>
      <c r="X180" s="48">
        <f>X181+X189+X196+X192</f>
        <v>11231.630000000001</v>
      </c>
      <c r="Z180" s="48">
        <f>Z181</f>
        <v>6048.17</v>
      </c>
      <c r="AA180" s="48">
        <f>AA181</f>
        <v>5814.67</v>
      </c>
      <c r="AB180" s="87">
        <f t="shared" si="141"/>
        <v>0.96139328094283061</v>
      </c>
    </row>
    <row r="181" spans="1:28" x14ac:dyDescent="0.25">
      <c r="A181" s="19" t="s">
        <v>253</v>
      </c>
      <c r="B181" s="40"/>
      <c r="C181" s="40" t="s">
        <v>15</v>
      </c>
      <c r="D181" s="40" t="s">
        <v>98</v>
      </c>
      <c r="E181" s="40" t="s">
        <v>23</v>
      </c>
      <c r="F181" s="40"/>
      <c r="G181" s="29">
        <f>G182+G185</f>
        <v>5831.7</v>
      </c>
      <c r="I181" s="47">
        <f>I182+I185</f>
        <v>6163.2</v>
      </c>
      <c r="K181" s="47">
        <f>K182+K185</f>
        <v>6163.2</v>
      </c>
      <c r="M181" s="47">
        <f>M182+M185</f>
        <v>6048.17</v>
      </c>
      <c r="O181" s="47">
        <f>O182+O185+O188</f>
        <v>6048.17</v>
      </c>
      <c r="P181" s="30"/>
      <c r="Q181" s="47">
        <f>Q182+Q185+Q188</f>
        <v>6048.17</v>
      </c>
      <c r="S181" s="47">
        <f>S182+S185+S188</f>
        <v>6048.17</v>
      </c>
      <c r="V181" s="47">
        <f>V182+V185+V188</f>
        <v>6048.17</v>
      </c>
      <c r="X181" s="47">
        <f>X182+X185+X188</f>
        <v>6048.17</v>
      </c>
      <c r="Z181" s="47">
        <f>Z182+Z185+Z188</f>
        <v>6048.17</v>
      </c>
      <c r="AA181" s="47">
        <f>AA182+AA185+AA188</f>
        <v>5814.67</v>
      </c>
      <c r="AB181" s="85">
        <f t="shared" si="141"/>
        <v>0.96139328094283061</v>
      </c>
    </row>
    <row r="182" spans="1:28" x14ac:dyDescent="0.25">
      <c r="A182" s="19" t="s">
        <v>215</v>
      </c>
      <c r="B182" s="40"/>
      <c r="C182" s="40" t="s">
        <v>15</v>
      </c>
      <c r="D182" s="40" t="s">
        <v>98</v>
      </c>
      <c r="E182" s="40" t="s">
        <v>23</v>
      </c>
      <c r="F182" s="40" t="s">
        <v>216</v>
      </c>
      <c r="G182" s="29">
        <f>G183+G184</f>
        <v>5216</v>
      </c>
      <c r="I182" s="47">
        <f>I183+I184</f>
        <v>5547.5</v>
      </c>
      <c r="K182" s="47">
        <f>K183+K184</f>
        <v>5547.5</v>
      </c>
      <c r="M182" s="47">
        <f>M183+M184</f>
        <v>5432.47</v>
      </c>
      <c r="O182" s="47">
        <f>O183+O184</f>
        <v>5432.47</v>
      </c>
      <c r="P182" s="30"/>
      <c r="Q182" s="47">
        <f>Q183+Q184</f>
        <v>5432.47</v>
      </c>
      <c r="S182" s="47">
        <f>S183+S184</f>
        <v>5432.47</v>
      </c>
      <c r="V182" s="47">
        <f>V183+V184</f>
        <v>5432.47</v>
      </c>
      <c r="X182" s="47">
        <f>X183+X184</f>
        <v>5432.47</v>
      </c>
      <c r="Z182" s="47">
        <f>Z183+Z184</f>
        <v>5432.47</v>
      </c>
      <c r="AA182" s="47">
        <f>AA183+AA184</f>
        <v>5396.88</v>
      </c>
      <c r="AB182" s="85">
        <f t="shared" si="141"/>
        <v>0.99344865227051415</v>
      </c>
    </row>
    <row r="183" spans="1:28" x14ac:dyDescent="0.25">
      <c r="A183" s="19" t="s">
        <v>217</v>
      </c>
      <c r="B183" s="40"/>
      <c r="C183" s="40" t="s">
        <v>15</v>
      </c>
      <c r="D183" s="40" t="s">
        <v>98</v>
      </c>
      <c r="E183" s="40" t="s">
        <v>23</v>
      </c>
      <c r="F183" s="40" t="s">
        <v>218</v>
      </c>
      <c r="G183" s="29">
        <f>4128+1080</f>
        <v>5208</v>
      </c>
      <c r="H183" s="52">
        <v>331.5</v>
      </c>
      <c r="I183" s="47">
        <f t="shared" ref="I183:K197" si="179">G183+H183</f>
        <v>5539.5</v>
      </c>
      <c r="K183" s="47">
        <f t="shared" si="179"/>
        <v>5539.5</v>
      </c>
      <c r="L183" s="30">
        <v>-115.03</v>
      </c>
      <c r="M183" s="47">
        <f t="shared" ref="M183:M184" si="180">K183+L183</f>
        <v>5424.47</v>
      </c>
      <c r="O183" s="47">
        <f t="shared" ref="O183:O184" si="181">M183+N183</f>
        <v>5424.47</v>
      </c>
      <c r="P183" s="30"/>
      <c r="Q183" s="47">
        <f t="shared" ref="Q183:Q184" si="182">O183+P183</f>
        <v>5424.47</v>
      </c>
      <c r="S183" s="47">
        <f t="shared" ref="S183:S184" si="183">Q183+R183</f>
        <v>5424.47</v>
      </c>
      <c r="V183" s="47">
        <f>S183+U183</f>
        <v>5424.47</v>
      </c>
      <c r="X183" s="47">
        <f>V183+W183</f>
        <v>5424.47</v>
      </c>
      <c r="Z183" s="47">
        <f>X183+Y183</f>
        <v>5424.47</v>
      </c>
      <c r="AA183" s="86">
        <v>5396.88</v>
      </c>
      <c r="AB183" s="85">
        <f t="shared" si="141"/>
        <v>0.99491378881254755</v>
      </c>
    </row>
    <row r="184" spans="1:28" ht="14.25" customHeight="1" x14ac:dyDescent="0.25">
      <c r="A184" s="19" t="s">
        <v>219</v>
      </c>
      <c r="B184" s="40"/>
      <c r="C184" s="40" t="s">
        <v>15</v>
      </c>
      <c r="D184" s="40" t="s">
        <v>98</v>
      </c>
      <c r="E184" s="40" t="s">
        <v>23</v>
      </c>
      <c r="F184" s="40" t="s">
        <v>220</v>
      </c>
      <c r="G184" s="29">
        <f>10-2</f>
        <v>8</v>
      </c>
      <c r="I184" s="47">
        <f t="shared" si="179"/>
        <v>8</v>
      </c>
      <c r="K184" s="47">
        <f t="shared" si="179"/>
        <v>8</v>
      </c>
      <c r="M184" s="47">
        <f t="shared" si="180"/>
        <v>8</v>
      </c>
      <c r="O184" s="47">
        <f t="shared" si="181"/>
        <v>8</v>
      </c>
      <c r="P184" s="30"/>
      <c r="Q184" s="47">
        <f t="shared" si="182"/>
        <v>8</v>
      </c>
      <c r="S184" s="47">
        <f t="shared" si="183"/>
        <v>8</v>
      </c>
      <c r="V184" s="47">
        <f>S184+U184</f>
        <v>8</v>
      </c>
      <c r="X184" s="47">
        <f>V184+W184</f>
        <v>8</v>
      </c>
      <c r="Z184" s="47">
        <f>X184+Y184</f>
        <v>8</v>
      </c>
      <c r="AA184" s="86">
        <v>0</v>
      </c>
      <c r="AB184" s="85">
        <f t="shared" si="141"/>
        <v>0</v>
      </c>
    </row>
    <row r="185" spans="1:28" ht="15" customHeight="1" x14ac:dyDescent="0.25">
      <c r="A185" s="19" t="s">
        <v>221</v>
      </c>
      <c r="B185" s="40"/>
      <c r="C185" s="40" t="s">
        <v>15</v>
      </c>
      <c r="D185" s="40" t="s">
        <v>98</v>
      </c>
      <c r="E185" s="40" t="s">
        <v>23</v>
      </c>
      <c r="F185" s="40" t="s">
        <v>222</v>
      </c>
      <c r="G185" s="29">
        <f>G186+G187</f>
        <v>615.69999999999993</v>
      </c>
      <c r="I185" s="47">
        <f>I186+I187</f>
        <v>615.69999999999993</v>
      </c>
      <c r="K185" s="47">
        <f>K186+K187</f>
        <v>615.69999999999993</v>
      </c>
      <c r="M185" s="47">
        <f>M186+M187</f>
        <v>615.69999999999993</v>
      </c>
      <c r="O185" s="47">
        <f>O186+O187</f>
        <v>580.2299999999999</v>
      </c>
      <c r="P185" s="30"/>
      <c r="Q185" s="47">
        <f>Q186+Q187</f>
        <v>580.2299999999999</v>
      </c>
      <c r="S185" s="47">
        <f>S186+S187</f>
        <v>580.2299999999999</v>
      </c>
      <c r="V185" s="47">
        <f>V186+V187</f>
        <v>580.2299999999999</v>
      </c>
      <c r="X185" s="47">
        <f>X186+X187</f>
        <v>537.29</v>
      </c>
      <c r="Z185" s="47">
        <f>Z186+Z187</f>
        <v>537.29</v>
      </c>
      <c r="AA185" s="47">
        <f>AA186+AA187</f>
        <v>372.11</v>
      </c>
      <c r="AB185" s="85">
        <f t="shared" si="141"/>
        <v>0.69256825922686083</v>
      </c>
    </row>
    <row r="186" spans="1:28" ht="15" customHeight="1" x14ac:dyDescent="0.25">
      <c r="A186" s="19" t="s">
        <v>223</v>
      </c>
      <c r="B186" s="40"/>
      <c r="C186" s="40" t="s">
        <v>15</v>
      </c>
      <c r="D186" s="40" t="s">
        <v>98</v>
      </c>
      <c r="E186" s="40" t="s">
        <v>23</v>
      </c>
      <c r="F186" s="40" t="s">
        <v>224</v>
      </c>
      <c r="G186" s="29">
        <v>185</v>
      </c>
      <c r="I186" s="47">
        <f t="shared" si="179"/>
        <v>185</v>
      </c>
      <c r="K186" s="47">
        <f t="shared" si="179"/>
        <v>185</v>
      </c>
      <c r="M186" s="47">
        <f t="shared" ref="M186:M187" si="184">K186+L186</f>
        <v>185</v>
      </c>
      <c r="O186" s="47">
        <f t="shared" ref="O186:O188" si="185">M186+N186</f>
        <v>185</v>
      </c>
      <c r="P186" s="30"/>
      <c r="Q186" s="47">
        <f t="shared" ref="Q186:Q188" si="186">O186+P186</f>
        <v>185</v>
      </c>
      <c r="S186" s="47">
        <f t="shared" ref="S186:S188" si="187">Q186+R186</f>
        <v>185</v>
      </c>
      <c r="V186" s="47">
        <f>S186+U186</f>
        <v>185</v>
      </c>
      <c r="W186" s="30">
        <v>30.14</v>
      </c>
      <c r="X186" s="47">
        <f>V186+W186</f>
        <v>215.14</v>
      </c>
      <c r="Z186" s="47">
        <f>X186+Y186</f>
        <v>215.14</v>
      </c>
      <c r="AA186" s="86">
        <v>162.41999999999999</v>
      </c>
      <c r="AB186" s="85">
        <f t="shared" si="141"/>
        <v>0.7549502649437575</v>
      </c>
    </row>
    <row r="187" spans="1:28" ht="15" customHeight="1" x14ac:dyDescent="0.25">
      <c r="A187" s="19" t="s">
        <v>244</v>
      </c>
      <c r="B187" s="40"/>
      <c r="C187" s="40" t="s">
        <v>15</v>
      </c>
      <c r="D187" s="40" t="s">
        <v>98</v>
      </c>
      <c r="E187" s="40" t="s">
        <v>23</v>
      </c>
      <c r="F187" s="40" t="s">
        <v>225</v>
      </c>
      <c r="G187" s="29">
        <f>20+75+265.1+34.7+150+70-1.1-185+2</f>
        <v>430.69999999999993</v>
      </c>
      <c r="I187" s="47">
        <f t="shared" si="179"/>
        <v>430.69999999999993</v>
      </c>
      <c r="K187" s="47">
        <f t="shared" si="179"/>
        <v>430.69999999999993</v>
      </c>
      <c r="M187" s="47">
        <f t="shared" si="184"/>
        <v>430.69999999999993</v>
      </c>
      <c r="N187" s="30">
        <v>-35.47</v>
      </c>
      <c r="O187" s="47">
        <f t="shared" si="185"/>
        <v>395.2299999999999</v>
      </c>
      <c r="P187" s="30"/>
      <c r="Q187" s="47">
        <f t="shared" si="186"/>
        <v>395.2299999999999</v>
      </c>
      <c r="S187" s="47">
        <f t="shared" si="187"/>
        <v>395.2299999999999</v>
      </c>
      <c r="V187" s="47">
        <f>S187+U187</f>
        <v>395.2299999999999</v>
      </c>
      <c r="W187" s="30">
        <v>-73.08</v>
      </c>
      <c r="X187" s="47">
        <f>V187+W187</f>
        <v>322.14999999999992</v>
      </c>
      <c r="Z187" s="47">
        <f>X187+Y187</f>
        <v>322.14999999999992</v>
      </c>
      <c r="AA187" s="86">
        <v>209.69</v>
      </c>
      <c r="AB187" s="85">
        <f t="shared" si="141"/>
        <v>0.65090796212944291</v>
      </c>
    </row>
    <row r="188" spans="1:28" ht="15" customHeight="1" x14ac:dyDescent="0.25">
      <c r="A188" s="19" t="s">
        <v>324</v>
      </c>
      <c r="B188" s="40"/>
      <c r="C188" s="40" t="s">
        <v>15</v>
      </c>
      <c r="D188" s="40" t="s">
        <v>98</v>
      </c>
      <c r="E188" s="40" t="s">
        <v>23</v>
      </c>
      <c r="F188" s="40" t="s">
        <v>323</v>
      </c>
      <c r="G188" s="29"/>
      <c r="I188" s="47"/>
      <c r="K188" s="47"/>
      <c r="M188" s="47"/>
      <c r="N188" s="30">
        <v>35.47</v>
      </c>
      <c r="O188" s="47">
        <f t="shared" si="185"/>
        <v>35.47</v>
      </c>
      <c r="P188" s="30"/>
      <c r="Q188" s="47">
        <f t="shared" si="186"/>
        <v>35.47</v>
      </c>
      <c r="S188" s="47">
        <f t="shared" si="187"/>
        <v>35.47</v>
      </c>
      <c r="V188" s="47">
        <f>S188+U188</f>
        <v>35.47</v>
      </c>
      <c r="W188" s="30">
        <v>42.94</v>
      </c>
      <c r="X188" s="47">
        <f>V188+W188</f>
        <v>78.41</v>
      </c>
      <c r="Z188" s="47">
        <f>X188+Y188</f>
        <v>78.41</v>
      </c>
      <c r="AA188" s="86">
        <v>45.68</v>
      </c>
      <c r="AB188" s="85">
        <f t="shared" si="141"/>
        <v>0.5825787527101135</v>
      </c>
    </row>
    <row r="189" spans="1:28" x14ac:dyDescent="0.25">
      <c r="A189" s="19" t="s">
        <v>283</v>
      </c>
      <c r="B189" s="40"/>
      <c r="C189" s="40" t="s">
        <v>15</v>
      </c>
      <c r="D189" s="40" t="s">
        <v>195</v>
      </c>
      <c r="E189" s="40" t="s">
        <v>282</v>
      </c>
      <c r="F189" s="40"/>
      <c r="G189" s="29">
        <f>G190</f>
        <v>1500</v>
      </c>
      <c r="I189" s="47">
        <f>I190</f>
        <v>1609.2</v>
      </c>
      <c r="K189" s="47">
        <f>K190+K191</f>
        <v>1609.2</v>
      </c>
      <c r="M189" s="47">
        <f>M190+M191</f>
        <v>1644.62</v>
      </c>
      <c r="O189" s="47">
        <f>O190+O191</f>
        <v>1815.57</v>
      </c>
      <c r="P189" s="30"/>
      <c r="Q189" s="47">
        <f>Q190+Q191</f>
        <v>1815.57</v>
      </c>
      <c r="S189" s="47">
        <f>S190+S191</f>
        <v>1963.6699999999998</v>
      </c>
      <c r="V189" s="47">
        <f>V190+V191</f>
        <v>1963.6699999999998</v>
      </c>
      <c r="X189" s="47">
        <f>X190+X191</f>
        <v>1963.6699999999998</v>
      </c>
      <c r="Z189" s="47">
        <f>Z190+Z191</f>
        <v>1963.6699999999998</v>
      </c>
      <c r="AA189" s="47">
        <f>AA190+AA191</f>
        <v>1963.55</v>
      </c>
      <c r="AB189" s="85">
        <f t="shared" si="141"/>
        <v>0.9999388899356817</v>
      </c>
    </row>
    <row r="190" spans="1:28" ht="30.75" customHeight="1" x14ac:dyDescent="0.25">
      <c r="A190" s="19" t="s">
        <v>263</v>
      </c>
      <c r="B190" s="40"/>
      <c r="C190" s="40" t="s">
        <v>15</v>
      </c>
      <c r="D190" s="40" t="s">
        <v>195</v>
      </c>
      <c r="E190" s="40" t="s">
        <v>282</v>
      </c>
      <c r="F190" s="40" t="s">
        <v>264</v>
      </c>
      <c r="G190" s="29">
        <v>1500</v>
      </c>
      <c r="H190" s="52">
        <v>109.2</v>
      </c>
      <c r="I190" s="47">
        <f t="shared" si="179"/>
        <v>1609.2</v>
      </c>
      <c r="J190" s="28">
        <v>-109.2</v>
      </c>
      <c r="K190" s="47">
        <f t="shared" si="179"/>
        <v>1500</v>
      </c>
      <c r="M190" s="47">
        <f t="shared" ref="M190:M191" si="188">K190+L190</f>
        <v>1500</v>
      </c>
      <c r="O190" s="47">
        <f t="shared" ref="O190:O191" si="189">M190+N190</f>
        <v>1500</v>
      </c>
      <c r="P190" s="30"/>
      <c r="Q190" s="47">
        <f t="shared" ref="Q190:Q191" si="190">O190+P190</f>
        <v>1500</v>
      </c>
      <c r="R190" s="30">
        <v>148.1</v>
      </c>
      <c r="S190" s="47">
        <f t="shared" ref="S190:S191" si="191">Q190+R190</f>
        <v>1648.1</v>
      </c>
      <c r="T190" s="70">
        <v>148.1</v>
      </c>
      <c r="V190" s="47">
        <f>S190+U190</f>
        <v>1648.1</v>
      </c>
      <c r="X190" s="47">
        <f>V190+W190</f>
        <v>1648.1</v>
      </c>
      <c r="Z190" s="47">
        <f>X190+Y190</f>
        <v>1648.1</v>
      </c>
      <c r="AA190" s="86">
        <v>1648</v>
      </c>
      <c r="AB190" s="85">
        <f t="shared" si="141"/>
        <v>0.99993932407014141</v>
      </c>
    </row>
    <row r="191" spans="1:28" ht="15" customHeight="1" x14ac:dyDescent="0.25">
      <c r="A191" s="19" t="s">
        <v>266</v>
      </c>
      <c r="B191" s="40"/>
      <c r="C191" s="40" t="s">
        <v>15</v>
      </c>
      <c r="D191" s="40" t="s">
        <v>195</v>
      </c>
      <c r="E191" s="40" t="s">
        <v>282</v>
      </c>
      <c r="F191" s="40" t="s">
        <v>265</v>
      </c>
      <c r="G191" s="29"/>
      <c r="I191" s="47"/>
      <c r="J191" s="28">
        <v>109.2</v>
      </c>
      <c r="K191" s="47">
        <f t="shared" si="179"/>
        <v>109.2</v>
      </c>
      <c r="L191" s="30">
        <v>35.42</v>
      </c>
      <c r="M191" s="47">
        <f t="shared" si="188"/>
        <v>144.62</v>
      </c>
      <c r="N191" s="30">
        <v>170.95</v>
      </c>
      <c r="O191" s="47">
        <f t="shared" si="189"/>
        <v>315.57</v>
      </c>
      <c r="P191" s="30"/>
      <c r="Q191" s="47">
        <f t="shared" si="190"/>
        <v>315.57</v>
      </c>
      <c r="S191" s="47">
        <f t="shared" si="191"/>
        <v>315.57</v>
      </c>
      <c r="V191" s="47">
        <f>S191+U191</f>
        <v>315.57</v>
      </c>
      <c r="X191" s="47">
        <f>V191+W191</f>
        <v>315.57</v>
      </c>
      <c r="Z191" s="47">
        <f>X191+Y191</f>
        <v>315.57</v>
      </c>
      <c r="AA191" s="86">
        <v>315.55</v>
      </c>
      <c r="AB191" s="85">
        <f t="shared" si="141"/>
        <v>0.99993662261938721</v>
      </c>
    </row>
    <row r="192" spans="1:28" ht="14.25" customHeight="1" x14ac:dyDescent="0.25">
      <c r="A192" s="19" t="s">
        <v>177</v>
      </c>
      <c r="B192" s="40"/>
      <c r="C192" s="40" t="s">
        <v>15</v>
      </c>
      <c r="D192" s="40" t="s">
        <v>195</v>
      </c>
      <c r="E192" s="40" t="s">
        <v>234</v>
      </c>
      <c r="F192" s="40"/>
      <c r="G192" s="29"/>
      <c r="I192" s="47"/>
      <c r="K192" s="47">
        <f>K193</f>
        <v>578.63</v>
      </c>
      <c r="M192" s="47">
        <f>M193</f>
        <v>3852.55</v>
      </c>
      <c r="O192" s="47">
        <f>O193</f>
        <v>3219.79</v>
      </c>
      <c r="P192" s="30"/>
      <c r="Q192" s="47">
        <f>Q193</f>
        <v>3219.79</v>
      </c>
      <c r="S192" s="47">
        <f>S193</f>
        <v>3219.79</v>
      </c>
      <c r="V192" s="47">
        <f>V193</f>
        <v>3219.79</v>
      </c>
      <c r="X192" s="47">
        <f>X193</f>
        <v>3219.79</v>
      </c>
      <c r="Z192" s="47">
        <f>Z193</f>
        <v>3219.79</v>
      </c>
      <c r="AA192" s="47">
        <f>AA193</f>
        <v>3209.8</v>
      </c>
      <c r="AB192" s="85">
        <f t="shared" si="141"/>
        <v>0.99689731317880992</v>
      </c>
    </row>
    <row r="193" spans="1:28" ht="62.25" customHeight="1" x14ac:dyDescent="0.25">
      <c r="A193" s="19" t="s">
        <v>260</v>
      </c>
      <c r="B193" s="40"/>
      <c r="C193" s="40" t="s">
        <v>15</v>
      </c>
      <c r="D193" s="40" t="s">
        <v>195</v>
      </c>
      <c r="E193" s="40" t="s">
        <v>234</v>
      </c>
      <c r="F193" s="40" t="s">
        <v>259</v>
      </c>
      <c r="G193" s="29"/>
      <c r="I193" s="47"/>
      <c r="J193" s="28">
        <v>578.63</v>
      </c>
      <c r="K193" s="47">
        <f t="shared" si="179"/>
        <v>578.63</v>
      </c>
      <c r="L193" s="30">
        <f>3341.92-68</f>
        <v>3273.92</v>
      </c>
      <c r="M193" s="47">
        <f t="shared" ref="M193" si="192">K193+L193</f>
        <v>3852.55</v>
      </c>
      <c r="N193" s="30">
        <v>-632.76</v>
      </c>
      <c r="O193" s="47">
        <f t="shared" ref="O193" si="193">M193+N193</f>
        <v>3219.79</v>
      </c>
      <c r="P193" s="30"/>
      <c r="Q193" s="47">
        <f t="shared" ref="Q193" si="194">O193+P193</f>
        <v>3219.79</v>
      </c>
      <c r="S193" s="47">
        <f t="shared" ref="S193" si="195">Q193+R193</f>
        <v>3219.79</v>
      </c>
      <c r="V193" s="47">
        <f>S193+U193</f>
        <v>3219.79</v>
      </c>
      <c r="X193" s="47">
        <f>V193+W193</f>
        <v>3219.79</v>
      </c>
      <c r="Z193" s="47">
        <f>X193+Y193</f>
        <v>3219.79</v>
      </c>
      <c r="AA193" s="86">
        <v>3209.8</v>
      </c>
      <c r="AB193" s="85">
        <f t="shared" si="141"/>
        <v>0.99689731317880992</v>
      </c>
    </row>
    <row r="194" spans="1:28" ht="17.25" customHeight="1" x14ac:dyDescent="0.25">
      <c r="A194" s="19" t="s">
        <v>674</v>
      </c>
      <c r="B194" s="40"/>
      <c r="C194" s="40" t="s">
        <v>15</v>
      </c>
      <c r="D194" s="40" t="s">
        <v>195</v>
      </c>
      <c r="E194" s="40" t="s">
        <v>673</v>
      </c>
      <c r="F194" s="40"/>
      <c r="G194" s="29"/>
      <c r="I194" s="47"/>
      <c r="K194" s="47"/>
      <c r="M194" s="47"/>
      <c r="O194" s="47"/>
      <c r="P194" s="30"/>
      <c r="Q194" s="47"/>
      <c r="S194" s="47"/>
      <c r="V194" s="47"/>
      <c r="X194" s="47"/>
      <c r="Z194" s="47">
        <f>Z195</f>
        <v>50</v>
      </c>
      <c r="AA194" s="86">
        <f>AA195</f>
        <v>50</v>
      </c>
      <c r="AB194" s="85">
        <f t="shared" si="141"/>
        <v>1</v>
      </c>
    </row>
    <row r="195" spans="1:28" ht="22.5" customHeight="1" x14ac:dyDescent="0.25">
      <c r="A195" s="19" t="s">
        <v>270</v>
      </c>
      <c r="B195" s="40"/>
      <c r="C195" s="40" t="s">
        <v>15</v>
      </c>
      <c r="D195" s="40" t="s">
        <v>195</v>
      </c>
      <c r="E195" s="40" t="s">
        <v>673</v>
      </c>
      <c r="F195" s="40" t="s">
        <v>269</v>
      </c>
      <c r="G195" s="29"/>
      <c r="I195" s="47"/>
      <c r="K195" s="47"/>
      <c r="M195" s="47"/>
      <c r="O195" s="47"/>
      <c r="P195" s="30"/>
      <c r="Q195" s="47"/>
      <c r="S195" s="47"/>
      <c r="V195" s="47"/>
      <c r="X195" s="47"/>
      <c r="Z195" s="47">
        <v>50</v>
      </c>
      <c r="AA195" s="86">
        <v>50</v>
      </c>
      <c r="AB195" s="85">
        <f t="shared" si="141"/>
        <v>1</v>
      </c>
    </row>
    <row r="196" spans="1:28" ht="45.75" customHeight="1" x14ac:dyDescent="0.25">
      <c r="A196" s="19" t="s">
        <v>337</v>
      </c>
      <c r="B196" s="40"/>
      <c r="C196" s="40" t="s">
        <v>15</v>
      </c>
      <c r="D196" s="40" t="s">
        <v>195</v>
      </c>
      <c r="E196" s="40" t="s">
        <v>336</v>
      </c>
      <c r="F196" s="40"/>
      <c r="G196" s="29">
        <f>G197</f>
        <v>300</v>
      </c>
      <c r="I196" s="47">
        <f>I197</f>
        <v>300</v>
      </c>
      <c r="K196" s="47">
        <f>K197</f>
        <v>300</v>
      </c>
      <c r="M196" s="47">
        <f>M197</f>
        <v>300</v>
      </c>
      <c r="O196" s="47">
        <f>O197</f>
        <v>300</v>
      </c>
      <c r="P196" s="30"/>
      <c r="Q196" s="47">
        <f>Q197</f>
        <v>300</v>
      </c>
      <c r="S196" s="47">
        <f>S197</f>
        <v>300</v>
      </c>
      <c r="V196" s="47">
        <f>V197</f>
        <v>300</v>
      </c>
      <c r="X196" s="47">
        <f>X197</f>
        <v>0</v>
      </c>
      <c r="Z196" s="47">
        <f>Z197</f>
        <v>0</v>
      </c>
      <c r="AA196" s="86">
        <v>0</v>
      </c>
      <c r="AB196" s="85">
        <v>0</v>
      </c>
    </row>
    <row r="197" spans="1:28" ht="15" customHeight="1" x14ac:dyDescent="0.25">
      <c r="A197" s="19" t="s">
        <v>244</v>
      </c>
      <c r="B197" s="40"/>
      <c r="C197" s="40" t="s">
        <v>15</v>
      </c>
      <c r="D197" s="40" t="s">
        <v>195</v>
      </c>
      <c r="E197" s="40" t="s">
        <v>336</v>
      </c>
      <c r="F197" s="40" t="s">
        <v>225</v>
      </c>
      <c r="G197" s="29">
        <v>300</v>
      </c>
      <c r="I197" s="47">
        <f t="shared" si="179"/>
        <v>300</v>
      </c>
      <c r="K197" s="47">
        <f t="shared" si="179"/>
        <v>300</v>
      </c>
      <c r="M197" s="47">
        <f t="shared" ref="M197" si="196">K197+L197</f>
        <v>300</v>
      </c>
      <c r="O197" s="47">
        <f t="shared" ref="O197" si="197">M197+N197</f>
        <v>300</v>
      </c>
      <c r="P197" s="30"/>
      <c r="Q197" s="47">
        <f t="shared" ref="Q197" si="198">O197+P197</f>
        <v>300</v>
      </c>
      <c r="S197" s="47">
        <f t="shared" ref="S197" si="199">Q197+R197</f>
        <v>300</v>
      </c>
      <c r="V197" s="47">
        <f>S197+U197</f>
        <v>300</v>
      </c>
      <c r="W197" s="30">
        <v>-300</v>
      </c>
      <c r="X197" s="47">
        <f>V197+W197</f>
        <v>0</v>
      </c>
      <c r="Z197" s="47">
        <f>X197+Y197</f>
        <v>0</v>
      </c>
      <c r="AA197" s="86">
        <v>0</v>
      </c>
      <c r="AB197" s="85">
        <v>0</v>
      </c>
    </row>
    <row r="198" spans="1:28" x14ac:dyDescent="0.25">
      <c r="A198" s="42" t="s">
        <v>42</v>
      </c>
      <c r="B198" s="35"/>
      <c r="C198" s="35" t="s">
        <v>24</v>
      </c>
      <c r="D198" s="35"/>
      <c r="E198" s="35"/>
      <c r="F198" s="35"/>
      <c r="G198" s="36">
        <f>G199</f>
        <v>2366</v>
      </c>
      <c r="I198" s="48">
        <f>I199</f>
        <v>5138</v>
      </c>
      <c r="K198" s="48">
        <f>K199</f>
        <v>5138</v>
      </c>
      <c r="M198" s="48">
        <f>M199</f>
        <v>1204.0999999999999</v>
      </c>
      <c r="O198" s="48">
        <f>O199</f>
        <v>1104.7199999999998</v>
      </c>
      <c r="P198" s="30"/>
      <c r="Q198" s="48">
        <f>Q199</f>
        <v>1104.7199999999998</v>
      </c>
      <c r="S198" s="48">
        <f>S199</f>
        <v>1104.7199999999998</v>
      </c>
      <c r="V198" s="48">
        <f>V199</f>
        <v>1104.7199999999998</v>
      </c>
      <c r="X198" s="48">
        <f>X199</f>
        <v>1619.35</v>
      </c>
      <c r="Z198" s="48">
        <f>Z199+Z203</f>
        <v>1619.35</v>
      </c>
      <c r="AA198" s="48">
        <f>AA199+AA203</f>
        <v>1134.1599999999999</v>
      </c>
      <c r="AB198" s="87">
        <f t="shared" si="141"/>
        <v>0.7003797820113008</v>
      </c>
    </row>
    <row r="199" spans="1:28" x14ac:dyDescent="0.25">
      <c r="A199" s="42" t="s">
        <v>180</v>
      </c>
      <c r="B199" s="35"/>
      <c r="C199" s="35" t="s">
        <v>24</v>
      </c>
      <c r="D199" s="35" t="s">
        <v>17</v>
      </c>
      <c r="E199" s="35"/>
      <c r="F199" s="35"/>
      <c r="G199" s="36">
        <f>G200</f>
        <v>2366</v>
      </c>
      <c r="I199" s="48">
        <f>I200</f>
        <v>5138</v>
      </c>
      <c r="K199" s="48">
        <f>K200</f>
        <v>5138</v>
      </c>
      <c r="M199" s="48">
        <f>M200</f>
        <v>1204.0999999999999</v>
      </c>
      <c r="O199" s="48">
        <f>O200</f>
        <v>1104.7199999999998</v>
      </c>
      <c r="P199" s="30"/>
      <c r="Q199" s="48">
        <f>Q200</f>
        <v>1104.7199999999998</v>
      </c>
      <c r="S199" s="48">
        <f>S200</f>
        <v>1104.7199999999998</v>
      </c>
      <c r="V199" s="48">
        <f>V200</f>
        <v>1104.7199999999998</v>
      </c>
      <c r="X199" s="48">
        <f>X200+X203</f>
        <v>1619.35</v>
      </c>
      <c r="Z199" s="48">
        <f>Z200</f>
        <v>975.27</v>
      </c>
      <c r="AA199" s="48">
        <f>AA200</f>
        <v>771.66</v>
      </c>
      <c r="AB199" s="87">
        <f t="shared" si="141"/>
        <v>0.79122704481835793</v>
      </c>
    </row>
    <row r="200" spans="1:28" ht="30" customHeight="1" x14ac:dyDescent="0.25">
      <c r="A200" s="19" t="s">
        <v>338</v>
      </c>
      <c r="B200" s="40"/>
      <c r="C200" s="40" t="s">
        <v>24</v>
      </c>
      <c r="D200" s="40" t="s">
        <v>17</v>
      </c>
      <c r="E200" s="40" t="s">
        <v>339</v>
      </c>
      <c r="F200" s="40"/>
      <c r="G200" s="29">
        <f>G201</f>
        <v>2366</v>
      </c>
      <c r="I200" s="47">
        <f>I201</f>
        <v>5138</v>
      </c>
      <c r="K200" s="47">
        <f>K201+K202</f>
        <v>5138</v>
      </c>
      <c r="M200" s="47">
        <f>M201+M202</f>
        <v>1204.0999999999999</v>
      </c>
      <c r="O200" s="47">
        <f>O201+O202</f>
        <v>1104.7199999999998</v>
      </c>
      <c r="P200" s="30"/>
      <c r="Q200" s="47">
        <f>Q201+Q202</f>
        <v>1104.7199999999998</v>
      </c>
      <c r="S200" s="47">
        <f>S201+S202</f>
        <v>1104.7199999999998</v>
      </c>
      <c r="V200" s="47">
        <f>V201+V202</f>
        <v>1104.7199999999998</v>
      </c>
      <c r="X200" s="47">
        <f>X201+X202</f>
        <v>975.27</v>
      </c>
      <c r="Z200" s="47">
        <f>Z201+Z202</f>
        <v>975.27</v>
      </c>
      <c r="AA200" s="47">
        <f>AA201+AA202</f>
        <v>771.66</v>
      </c>
      <c r="AB200" s="85">
        <f t="shared" si="141"/>
        <v>0.79122704481835793</v>
      </c>
    </row>
    <row r="201" spans="1:28" x14ac:dyDescent="0.25">
      <c r="A201" s="19" t="s">
        <v>266</v>
      </c>
      <c r="B201" s="40"/>
      <c r="C201" s="40" t="s">
        <v>24</v>
      </c>
      <c r="D201" s="40" t="s">
        <v>17</v>
      </c>
      <c r="E201" s="40" t="s">
        <v>339</v>
      </c>
      <c r="F201" s="40" t="s">
        <v>265</v>
      </c>
      <c r="G201" s="29">
        <v>2366</v>
      </c>
      <c r="H201" s="52">
        <v>2772</v>
      </c>
      <c r="I201" s="47">
        <f t="shared" ref="I201:K202" si="200">G201+H201</f>
        <v>5138</v>
      </c>
      <c r="J201" s="28">
        <v>-99</v>
      </c>
      <c r="K201" s="47">
        <f t="shared" si="200"/>
        <v>5039</v>
      </c>
      <c r="L201" s="30">
        <f>-1540-2393.9</f>
        <v>-3933.9</v>
      </c>
      <c r="M201" s="47">
        <f t="shared" ref="M201:M202" si="201">K201+L201</f>
        <v>1105.0999999999999</v>
      </c>
      <c r="N201" s="30">
        <v>-99.38</v>
      </c>
      <c r="O201" s="47">
        <f t="shared" ref="O201:O202" si="202">M201+N201</f>
        <v>1005.7199999999999</v>
      </c>
      <c r="P201" s="30"/>
      <c r="Q201" s="47">
        <f t="shared" ref="Q201:Q202" si="203">O201+P201</f>
        <v>1005.7199999999999</v>
      </c>
      <c r="R201" s="30">
        <v>-88.52</v>
      </c>
      <c r="S201" s="47">
        <f t="shared" ref="S201:S202" si="204">Q201+R201</f>
        <v>917.19999999999993</v>
      </c>
      <c r="V201" s="47">
        <f>S201+U201</f>
        <v>917.19999999999993</v>
      </c>
      <c r="W201" s="30">
        <v>-618.65</v>
      </c>
      <c r="X201" s="47">
        <f>V201+W201</f>
        <v>298.54999999999995</v>
      </c>
      <c r="Z201" s="47">
        <f>X201+Y201</f>
        <v>298.54999999999995</v>
      </c>
      <c r="AA201" s="86">
        <v>200.14</v>
      </c>
      <c r="AB201" s="85">
        <f t="shared" si="141"/>
        <v>0.6703734717802714</v>
      </c>
    </row>
    <row r="202" spans="1:28" x14ac:dyDescent="0.25">
      <c r="A202" s="19" t="s">
        <v>270</v>
      </c>
      <c r="B202" s="40"/>
      <c r="C202" s="40" t="s">
        <v>24</v>
      </c>
      <c r="D202" s="40" t="s">
        <v>17</v>
      </c>
      <c r="E202" s="40" t="s">
        <v>339</v>
      </c>
      <c r="F202" s="40" t="s">
        <v>269</v>
      </c>
      <c r="G202" s="29"/>
      <c r="I202" s="47"/>
      <c r="J202" s="28">
        <v>99</v>
      </c>
      <c r="K202" s="47">
        <f t="shared" si="200"/>
        <v>99</v>
      </c>
      <c r="M202" s="47">
        <f t="shared" si="201"/>
        <v>99</v>
      </c>
      <c r="O202" s="47">
        <f t="shared" si="202"/>
        <v>99</v>
      </c>
      <c r="P202" s="30"/>
      <c r="Q202" s="47">
        <f t="shared" si="203"/>
        <v>99</v>
      </c>
      <c r="R202" s="30">
        <v>88.52</v>
      </c>
      <c r="S202" s="47">
        <f t="shared" si="204"/>
        <v>187.51999999999998</v>
      </c>
      <c r="V202" s="47">
        <f>S202+U202</f>
        <v>187.51999999999998</v>
      </c>
      <c r="W202" s="30">
        <v>489.2</v>
      </c>
      <c r="X202" s="47">
        <f>V202+W202</f>
        <v>676.72</v>
      </c>
      <c r="Z202" s="47">
        <f>X202+Y202</f>
        <v>676.72</v>
      </c>
      <c r="AA202" s="86">
        <v>571.52</v>
      </c>
      <c r="AB202" s="85">
        <f t="shared" si="141"/>
        <v>0.84454427237262086</v>
      </c>
    </row>
    <row r="203" spans="1:28" ht="34.5" customHeight="1" x14ac:dyDescent="0.25">
      <c r="A203" s="19" t="s">
        <v>638</v>
      </c>
      <c r="B203" s="40"/>
      <c r="C203" s="40" t="s">
        <v>24</v>
      </c>
      <c r="D203" s="40" t="s">
        <v>27</v>
      </c>
      <c r="E203" s="40" t="s">
        <v>637</v>
      </c>
      <c r="F203" s="40"/>
      <c r="G203" s="29"/>
      <c r="I203" s="47"/>
      <c r="K203" s="47"/>
      <c r="M203" s="47"/>
      <c r="O203" s="47"/>
      <c r="P203" s="30"/>
      <c r="Q203" s="47"/>
      <c r="S203" s="47"/>
      <c r="V203" s="47"/>
      <c r="X203" s="47">
        <f>X204</f>
        <v>644.08000000000004</v>
      </c>
      <c r="Z203" s="47">
        <f>Z204</f>
        <v>644.08000000000004</v>
      </c>
      <c r="AA203" s="47">
        <f>AA204</f>
        <v>362.5</v>
      </c>
      <c r="AB203" s="85">
        <f t="shared" si="141"/>
        <v>0.56281828344305052</v>
      </c>
    </row>
    <row r="204" spans="1:28" x14ac:dyDescent="0.25">
      <c r="A204" s="19" t="s">
        <v>270</v>
      </c>
      <c r="B204" s="40"/>
      <c r="C204" s="40" t="s">
        <v>24</v>
      </c>
      <c r="D204" s="40" t="s">
        <v>27</v>
      </c>
      <c r="E204" s="40" t="s">
        <v>637</v>
      </c>
      <c r="F204" s="40" t="s">
        <v>269</v>
      </c>
      <c r="G204" s="29"/>
      <c r="I204" s="47"/>
      <c r="K204" s="47"/>
      <c r="M204" s="47"/>
      <c r="O204" s="47"/>
      <c r="P204" s="30"/>
      <c r="Q204" s="47"/>
      <c r="S204" s="47"/>
      <c r="V204" s="47"/>
      <c r="W204" s="30">
        <v>644.08000000000004</v>
      </c>
      <c r="X204" s="47">
        <f>V204+W204</f>
        <v>644.08000000000004</v>
      </c>
      <c r="Z204" s="47">
        <f>X204+Y204</f>
        <v>644.08000000000004</v>
      </c>
      <c r="AA204" s="86">
        <v>362.5</v>
      </c>
      <c r="AB204" s="85">
        <f t="shared" si="141"/>
        <v>0.56281828344305052</v>
      </c>
    </row>
    <row r="205" spans="1:28" x14ac:dyDescent="0.25">
      <c r="A205" s="42" t="s">
        <v>45</v>
      </c>
      <c r="B205" s="35"/>
      <c r="C205" s="35" t="s">
        <v>46</v>
      </c>
      <c r="D205" s="35"/>
      <c r="E205" s="35"/>
      <c r="F205" s="35"/>
      <c r="G205" s="36">
        <f>G206+G209</f>
        <v>291.7</v>
      </c>
      <c r="I205" s="48">
        <f>I206+I209</f>
        <v>3885.69</v>
      </c>
      <c r="K205" s="48">
        <f>K206+K209</f>
        <v>4102.33</v>
      </c>
      <c r="M205" s="48">
        <f>M206+M209</f>
        <v>7753.9100000000008</v>
      </c>
      <c r="O205" s="48">
        <f>O206+O209</f>
        <v>7753.9100000000008</v>
      </c>
      <c r="P205" s="30"/>
      <c r="Q205" s="48">
        <f>Q206+Q209</f>
        <v>7753.9100000000008</v>
      </c>
      <c r="S205" s="48">
        <f>S206+S209</f>
        <v>8253.91</v>
      </c>
      <c r="V205" s="48">
        <f>V206+V209</f>
        <v>8253.91</v>
      </c>
      <c r="X205" s="48">
        <f>X206+X209</f>
        <v>8253.91</v>
      </c>
      <c r="Z205" s="48">
        <f>Z206+Z209</f>
        <v>9550.91</v>
      </c>
      <c r="AA205" s="48">
        <f>AA206+AA209</f>
        <v>9481.2199999999993</v>
      </c>
      <c r="AB205" s="87">
        <f t="shared" ref="AB205:AB268" si="205">AA205/Z205</f>
        <v>0.99270331308744397</v>
      </c>
    </row>
    <row r="206" spans="1:28" x14ac:dyDescent="0.25">
      <c r="A206" s="42" t="s">
        <v>47</v>
      </c>
      <c r="B206" s="35"/>
      <c r="C206" s="35" t="s">
        <v>46</v>
      </c>
      <c r="D206" s="35" t="s">
        <v>17</v>
      </c>
      <c r="E206" s="35"/>
      <c r="F206" s="35"/>
      <c r="G206" s="36">
        <f>G207</f>
        <v>0</v>
      </c>
      <c r="I206" s="48">
        <f>I207</f>
        <v>3585.69</v>
      </c>
      <c r="K206" s="48">
        <f>K207</f>
        <v>3585.69</v>
      </c>
      <c r="M206" s="48">
        <f>M207</f>
        <v>7041.1100000000006</v>
      </c>
      <c r="O206" s="48">
        <f>O207</f>
        <v>7041.1100000000006</v>
      </c>
      <c r="P206" s="30"/>
      <c r="Q206" s="48">
        <f>Q207</f>
        <v>7041.1100000000006</v>
      </c>
      <c r="S206" s="48">
        <f>S207</f>
        <v>7541.1100000000006</v>
      </c>
      <c r="V206" s="48">
        <f>V207</f>
        <v>7541.1100000000006</v>
      </c>
      <c r="X206" s="48">
        <f>X207</f>
        <v>7541.1100000000006</v>
      </c>
      <c r="Z206" s="48">
        <f>Z207</f>
        <v>8838.11</v>
      </c>
      <c r="AA206" s="48">
        <f>AA207</f>
        <v>8768.42</v>
      </c>
      <c r="AB206" s="87">
        <f t="shared" si="205"/>
        <v>0.99211482998061795</v>
      </c>
    </row>
    <row r="207" spans="1:28" ht="28.5" customHeight="1" x14ac:dyDescent="0.25">
      <c r="A207" s="19" t="s">
        <v>257</v>
      </c>
      <c r="B207" s="40"/>
      <c r="C207" s="40" t="s">
        <v>46</v>
      </c>
      <c r="D207" s="40" t="s">
        <v>17</v>
      </c>
      <c r="E207" s="40" t="s">
        <v>256</v>
      </c>
      <c r="F207" s="40"/>
      <c r="G207" s="29">
        <f>G208</f>
        <v>0</v>
      </c>
      <c r="I207" s="47">
        <f>I208</f>
        <v>3585.69</v>
      </c>
      <c r="K207" s="47">
        <f>K208</f>
        <v>3585.69</v>
      </c>
      <c r="M207" s="47">
        <f>M208</f>
        <v>7041.1100000000006</v>
      </c>
      <c r="O207" s="47">
        <f>O208</f>
        <v>7041.1100000000006</v>
      </c>
      <c r="P207" s="30"/>
      <c r="Q207" s="47">
        <f>Q208</f>
        <v>7041.1100000000006</v>
      </c>
      <c r="S207" s="47">
        <f>S208</f>
        <v>7541.1100000000006</v>
      </c>
      <c r="V207" s="47">
        <f>V208</f>
        <v>7541.1100000000006</v>
      </c>
      <c r="X207" s="47">
        <f>X208</f>
        <v>7541.1100000000006</v>
      </c>
      <c r="Z207" s="47">
        <f>Z208</f>
        <v>8838.11</v>
      </c>
      <c r="AA207" s="47">
        <f>AA208</f>
        <v>8768.42</v>
      </c>
      <c r="AB207" s="85">
        <f t="shared" si="205"/>
        <v>0.99211482998061795</v>
      </c>
    </row>
    <row r="208" spans="1:28" ht="16.5" customHeight="1" x14ac:dyDescent="0.25">
      <c r="A208" s="19" t="s">
        <v>385</v>
      </c>
      <c r="B208" s="40"/>
      <c r="C208" s="40" t="s">
        <v>46</v>
      </c>
      <c r="D208" s="40" t="s">
        <v>17</v>
      </c>
      <c r="E208" s="40" t="s">
        <v>256</v>
      </c>
      <c r="F208" s="40" t="s">
        <v>580</v>
      </c>
      <c r="G208" s="29"/>
      <c r="H208" s="52">
        <v>3585.69</v>
      </c>
      <c r="I208" s="47">
        <f t="shared" ref="I208:K208" si="206">G208+H208</f>
        <v>3585.69</v>
      </c>
      <c r="K208" s="47">
        <f t="shared" si="206"/>
        <v>3585.69</v>
      </c>
      <c r="L208" s="30">
        <v>3455.42</v>
      </c>
      <c r="M208" s="47">
        <f t="shared" ref="M208" si="207">K208+L208</f>
        <v>7041.1100000000006</v>
      </c>
      <c r="O208" s="47">
        <f t="shared" ref="O208" si="208">M208+N208</f>
        <v>7041.1100000000006</v>
      </c>
      <c r="P208" s="30"/>
      <c r="Q208" s="47">
        <f t="shared" ref="Q208" si="209">O208+P208</f>
        <v>7041.1100000000006</v>
      </c>
      <c r="R208" s="30">
        <v>500</v>
      </c>
      <c r="S208" s="47">
        <f t="shared" ref="S208" si="210">Q208+R208</f>
        <v>7541.1100000000006</v>
      </c>
      <c r="V208" s="47">
        <f>S208+U208</f>
        <v>7541.1100000000006</v>
      </c>
      <c r="X208" s="47">
        <f>V208+W208</f>
        <v>7541.1100000000006</v>
      </c>
      <c r="Y208" s="30">
        <v>1297</v>
      </c>
      <c r="Z208" s="47">
        <f>X208+Y208</f>
        <v>8838.11</v>
      </c>
      <c r="AA208" s="86">
        <v>8768.42</v>
      </c>
      <c r="AB208" s="85">
        <f t="shared" si="205"/>
        <v>0.99211482998061795</v>
      </c>
    </row>
    <row r="209" spans="1:28" x14ac:dyDescent="0.25">
      <c r="A209" s="42" t="s">
        <v>261</v>
      </c>
      <c r="B209" s="35"/>
      <c r="C209" s="35" t="s">
        <v>46</v>
      </c>
      <c r="D209" s="35" t="s">
        <v>20</v>
      </c>
      <c r="E209" s="35"/>
      <c r="F209" s="35"/>
      <c r="G209" s="36">
        <f>G210</f>
        <v>291.7</v>
      </c>
      <c r="I209" s="48">
        <f>I210</f>
        <v>300</v>
      </c>
      <c r="K209" s="48">
        <f>K210</f>
        <v>516.64</v>
      </c>
      <c r="M209" s="48">
        <f>M210+M212</f>
        <v>712.8</v>
      </c>
      <c r="O209" s="48">
        <f>O210+O212</f>
        <v>712.8</v>
      </c>
      <c r="P209" s="30"/>
      <c r="Q209" s="48">
        <f>Q210+Q212</f>
        <v>712.8</v>
      </c>
      <c r="S209" s="48">
        <f>S210+S212</f>
        <v>712.8</v>
      </c>
      <c r="V209" s="48">
        <f>V210+V212</f>
        <v>712.8</v>
      </c>
      <c r="X209" s="48">
        <f>X210+X212</f>
        <v>712.8</v>
      </c>
      <c r="Z209" s="48">
        <f>Z210+Z212</f>
        <v>712.8</v>
      </c>
      <c r="AA209" s="48">
        <f>AA210+AA212</f>
        <v>712.8</v>
      </c>
      <c r="AB209" s="87">
        <f t="shared" si="205"/>
        <v>1</v>
      </c>
    </row>
    <row r="210" spans="1:28" x14ac:dyDescent="0.25">
      <c r="A210" s="19" t="s">
        <v>99</v>
      </c>
      <c r="B210" s="40"/>
      <c r="C210" s="40" t="s">
        <v>46</v>
      </c>
      <c r="D210" s="40" t="s">
        <v>20</v>
      </c>
      <c r="E210" s="40" t="s">
        <v>258</v>
      </c>
      <c r="F210" s="40"/>
      <c r="G210" s="29">
        <f>G211</f>
        <v>291.7</v>
      </c>
      <c r="I210" s="47">
        <f>I211</f>
        <v>300</v>
      </c>
      <c r="K210" s="47">
        <f>K211</f>
        <v>516.64</v>
      </c>
      <c r="M210" s="47">
        <f>M211</f>
        <v>516.64</v>
      </c>
      <c r="O210" s="47">
        <f>O211</f>
        <v>516.64</v>
      </c>
      <c r="P210" s="30"/>
      <c r="Q210" s="47">
        <f>Q211</f>
        <v>516.64</v>
      </c>
      <c r="S210" s="47">
        <f>S211</f>
        <v>516.64</v>
      </c>
      <c r="V210" s="47">
        <f>V211</f>
        <v>516.64</v>
      </c>
      <c r="X210" s="47">
        <f>X211</f>
        <v>516.64</v>
      </c>
      <c r="Z210" s="47">
        <f>Z211</f>
        <v>516.64</v>
      </c>
      <c r="AA210" s="47">
        <f>AA211</f>
        <v>516.64</v>
      </c>
      <c r="AB210" s="85">
        <f t="shared" si="205"/>
        <v>1</v>
      </c>
    </row>
    <row r="211" spans="1:28" x14ac:dyDescent="0.25">
      <c r="A211" s="19" t="s">
        <v>244</v>
      </c>
      <c r="B211" s="40"/>
      <c r="C211" s="40" t="s">
        <v>46</v>
      </c>
      <c r="D211" s="40" t="s">
        <v>20</v>
      </c>
      <c r="E211" s="40" t="s">
        <v>258</v>
      </c>
      <c r="F211" s="40" t="s">
        <v>225</v>
      </c>
      <c r="G211" s="29">
        <v>291.7</v>
      </c>
      <c r="H211" s="52">
        <v>8.3000000000000007</v>
      </c>
      <c r="I211" s="47">
        <f t="shared" ref="I211:K211" si="211">G211+H211</f>
        <v>300</v>
      </c>
      <c r="J211" s="28">
        <v>216.64</v>
      </c>
      <c r="K211" s="47">
        <f t="shared" si="211"/>
        <v>516.64</v>
      </c>
      <c r="M211" s="47">
        <f t="shared" ref="M211:M213" si="212">K211+L211</f>
        <v>516.64</v>
      </c>
      <c r="O211" s="47">
        <f t="shared" ref="O211" si="213">M211+N211</f>
        <v>516.64</v>
      </c>
      <c r="P211" s="30"/>
      <c r="Q211" s="47">
        <f t="shared" ref="Q211" si="214">O211+P211</f>
        <v>516.64</v>
      </c>
      <c r="S211" s="47">
        <f t="shared" ref="S211" si="215">Q211+R211</f>
        <v>516.64</v>
      </c>
      <c r="V211" s="47">
        <f>S211+U211</f>
        <v>516.64</v>
      </c>
      <c r="X211" s="47">
        <f>V211+W211</f>
        <v>516.64</v>
      </c>
      <c r="Z211" s="47">
        <f>X211+Y211</f>
        <v>516.64</v>
      </c>
      <c r="AA211" s="86">
        <v>516.64</v>
      </c>
      <c r="AB211" s="85">
        <f t="shared" si="205"/>
        <v>1</v>
      </c>
    </row>
    <row r="212" spans="1:28" x14ac:dyDescent="0.25">
      <c r="A212" s="19" t="s">
        <v>490</v>
      </c>
      <c r="B212" s="40"/>
      <c r="C212" s="40" t="s">
        <v>46</v>
      </c>
      <c r="D212" s="40" t="s">
        <v>20</v>
      </c>
      <c r="E212" s="40" t="s">
        <v>489</v>
      </c>
      <c r="F212" s="40"/>
      <c r="G212" s="29"/>
      <c r="I212" s="47"/>
      <c r="K212" s="47"/>
      <c r="M212" s="47">
        <f>M213</f>
        <v>196.16</v>
      </c>
      <c r="O212" s="47">
        <f>O213</f>
        <v>196.16</v>
      </c>
      <c r="P212" s="30"/>
      <c r="Q212" s="47">
        <f>Q213</f>
        <v>196.16</v>
      </c>
      <c r="S212" s="47">
        <f>S213</f>
        <v>196.16</v>
      </c>
      <c r="V212" s="47">
        <f>V213</f>
        <v>196.16</v>
      </c>
      <c r="X212" s="47">
        <f>X213</f>
        <v>196.16</v>
      </c>
      <c r="Z212" s="47">
        <f>Z213</f>
        <v>196.16</v>
      </c>
      <c r="AA212" s="47">
        <f>AA213</f>
        <v>196.16</v>
      </c>
      <c r="AB212" s="85">
        <f t="shared" si="205"/>
        <v>1</v>
      </c>
    </row>
    <row r="213" spans="1:28" ht="15.75" customHeight="1" x14ac:dyDescent="0.25">
      <c r="A213" s="19" t="s">
        <v>491</v>
      </c>
      <c r="B213" s="40"/>
      <c r="C213" s="40" t="s">
        <v>46</v>
      </c>
      <c r="D213" s="40" t="s">
        <v>20</v>
      </c>
      <c r="E213" s="40" t="s">
        <v>489</v>
      </c>
      <c r="F213" s="40" t="s">
        <v>269</v>
      </c>
      <c r="G213" s="29"/>
      <c r="I213" s="47"/>
      <c r="K213" s="47"/>
      <c r="L213" s="30">
        <v>196.16</v>
      </c>
      <c r="M213" s="47">
        <f t="shared" si="212"/>
        <v>196.16</v>
      </c>
      <c r="O213" s="47">
        <f t="shared" ref="O213" si="216">M213+N213</f>
        <v>196.16</v>
      </c>
      <c r="P213" s="30"/>
      <c r="Q213" s="47">
        <f t="shared" ref="Q213" si="217">O213+P213</f>
        <v>196.16</v>
      </c>
      <c r="S213" s="47">
        <f t="shared" ref="S213" si="218">Q213+R213</f>
        <v>196.16</v>
      </c>
      <c r="V213" s="47">
        <f>S213+U213</f>
        <v>196.16</v>
      </c>
      <c r="X213" s="47">
        <f>V213+W213</f>
        <v>196.16</v>
      </c>
      <c r="Z213" s="47">
        <f>X213+Y213</f>
        <v>196.16</v>
      </c>
      <c r="AA213" s="86">
        <v>196.16</v>
      </c>
      <c r="AB213" s="85">
        <f t="shared" si="205"/>
        <v>1</v>
      </c>
    </row>
    <row r="214" spans="1:28" x14ac:dyDescent="0.25">
      <c r="A214" s="42" t="s">
        <v>55</v>
      </c>
      <c r="B214" s="35"/>
      <c r="C214" s="35" t="s">
        <v>56</v>
      </c>
      <c r="D214" s="35"/>
      <c r="E214" s="35"/>
      <c r="F214" s="35"/>
      <c r="G214" s="36">
        <f>G215+G238+G287+G292+G304</f>
        <v>125333.4</v>
      </c>
      <c r="I214" s="48">
        <f>I215+I238+I287+I292+I304</f>
        <v>128869.79999999999</v>
      </c>
      <c r="K214" s="48">
        <f>K215+K238+K287+K292+K304</f>
        <v>135244.56</v>
      </c>
      <c r="M214" s="48">
        <f>M215+M238+M287+M292+M304</f>
        <v>143306.28999999998</v>
      </c>
      <c r="O214" s="48">
        <f>O215+O238+O287+O292+O304</f>
        <v>145653.45999999996</v>
      </c>
      <c r="P214" s="30"/>
      <c r="Q214" s="48">
        <f>Q215+Q238+Q287+Q292+Q304</f>
        <v>145653.45999999996</v>
      </c>
      <c r="S214" s="48">
        <f>S215+S238+S287+S292+S304</f>
        <v>147437.40999999997</v>
      </c>
      <c r="V214" s="48">
        <f>V215+V238+V287+V292+V304</f>
        <v>147437.40999999997</v>
      </c>
      <c r="X214" s="48">
        <f>X215+X238+X287+X292+X304</f>
        <v>148417.88999999998</v>
      </c>
      <c r="Z214" s="48">
        <f>Z215+Z238+Z287+Z292+Z304</f>
        <v>149097.60999999999</v>
      </c>
      <c r="AA214" s="48">
        <f>AA215+AA238+AA287+AA292+AA304</f>
        <v>148391.22</v>
      </c>
      <c r="AB214" s="87">
        <f t="shared" si="205"/>
        <v>0.99526223123227808</v>
      </c>
    </row>
    <row r="215" spans="1:28" ht="15" customHeight="1" x14ac:dyDescent="0.25">
      <c r="A215" s="42" t="s">
        <v>57</v>
      </c>
      <c r="B215" s="35"/>
      <c r="C215" s="35" t="s">
        <v>56</v>
      </c>
      <c r="D215" s="35" t="s">
        <v>15</v>
      </c>
      <c r="E215" s="35"/>
      <c r="F215" s="35"/>
      <c r="G215" s="36">
        <f>G220</f>
        <v>43157.100000000006</v>
      </c>
      <c r="I215" s="48">
        <f>I220</f>
        <v>45281.1</v>
      </c>
      <c r="K215" s="48">
        <f>K220+K233</f>
        <v>47119.63</v>
      </c>
      <c r="M215" s="48">
        <f>M220+M233</f>
        <v>46900.03</v>
      </c>
      <c r="O215" s="48">
        <f>O220+O233</f>
        <v>47770.47</v>
      </c>
      <c r="P215" s="30"/>
      <c r="Q215" s="48">
        <f>Q220+Q233</f>
        <v>47770.47</v>
      </c>
      <c r="S215" s="48">
        <f>S220+S233+S236</f>
        <v>48219.319999999992</v>
      </c>
      <c r="V215" s="48">
        <f>V220+V233+V236</f>
        <v>48219.319999999992</v>
      </c>
      <c r="X215" s="48">
        <f>X220+X233+X236+X218</f>
        <v>48669.579999999994</v>
      </c>
      <c r="Z215" s="48">
        <f>Z220+Z233+Z236+Z218+Z216</f>
        <v>49346.7</v>
      </c>
      <c r="AA215" s="48">
        <f>AA220+AA233+AA236+AA218+AA216</f>
        <v>48827.810000000005</v>
      </c>
      <c r="AB215" s="87">
        <f t="shared" si="205"/>
        <v>0.98948480850796527</v>
      </c>
    </row>
    <row r="216" spans="1:28" ht="20.25" customHeight="1" x14ac:dyDescent="0.25">
      <c r="A216" s="19" t="s">
        <v>667</v>
      </c>
      <c r="B216" s="40"/>
      <c r="C216" s="40" t="s">
        <v>56</v>
      </c>
      <c r="D216" s="40" t="s">
        <v>15</v>
      </c>
      <c r="E216" s="40" t="s">
        <v>666</v>
      </c>
      <c r="F216" s="40"/>
      <c r="G216" s="29"/>
      <c r="I216" s="47"/>
      <c r="K216" s="47"/>
      <c r="M216" s="47"/>
      <c r="O216" s="47"/>
      <c r="P216" s="30"/>
      <c r="Q216" s="47"/>
      <c r="S216" s="47"/>
      <c r="V216" s="47"/>
      <c r="X216" s="47"/>
      <c r="Z216" s="47">
        <f>Z217</f>
        <v>855.91</v>
      </c>
      <c r="AA216" s="47">
        <f>AA217</f>
        <v>855.91</v>
      </c>
      <c r="AB216" s="85">
        <f t="shared" si="205"/>
        <v>1</v>
      </c>
    </row>
    <row r="217" spans="1:28" ht="15" customHeight="1" x14ac:dyDescent="0.25">
      <c r="A217" s="19" t="s">
        <v>273</v>
      </c>
      <c r="B217" s="40"/>
      <c r="C217" s="40" t="s">
        <v>56</v>
      </c>
      <c r="D217" s="40" t="s">
        <v>15</v>
      </c>
      <c r="E217" s="40" t="s">
        <v>666</v>
      </c>
      <c r="F217" s="40" t="s">
        <v>269</v>
      </c>
      <c r="G217" s="29"/>
      <c r="I217" s="47"/>
      <c r="K217" s="47"/>
      <c r="M217" s="47"/>
      <c r="O217" s="47"/>
      <c r="P217" s="30"/>
      <c r="Q217" s="47"/>
      <c r="S217" s="47"/>
      <c r="V217" s="47"/>
      <c r="X217" s="47"/>
      <c r="Y217" s="30">
        <v>855.91</v>
      </c>
      <c r="Z217" s="47">
        <f>X217+Y217</f>
        <v>855.91</v>
      </c>
      <c r="AA217" s="86">
        <v>855.91</v>
      </c>
      <c r="AB217" s="85">
        <f t="shared" si="205"/>
        <v>1</v>
      </c>
    </row>
    <row r="218" spans="1:28" ht="15" customHeight="1" x14ac:dyDescent="0.25">
      <c r="A218" s="19" t="s">
        <v>640</v>
      </c>
      <c r="B218" s="40"/>
      <c r="C218" s="40" t="s">
        <v>56</v>
      </c>
      <c r="D218" s="40" t="s">
        <v>15</v>
      </c>
      <c r="E218" s="40" t="s">
        <v>639</v>
      </c>
      <c r="F218" s="40"/>
      <c r="G218" s="29"/>
      <c r="I218" s="47"/>
      <c r="K218" s="47"/>
      <c r="M218" s="47"/>
      <c r="O218" s="47"/>
      <c r="P218" s="30"/>
      <c r="Q218" s="47"/>
      <c r="S218" s="47"/>
      <c r="V218" s="47"/>
      <c r="X218" s="47">
        <f>X219</f>
        <v>430.9</v>
      </c>
      <c r="Z218" s="47">
        <f>Z219</f>
        <v>430.9</v>
      </c>
      <c r="AA218" s="47">
        <f>AA219</f>
        <v>430.9</v>
      </c>
      <c r="AB218" s="85">
        <f t="shared" si="205"/>
        <v>1</v>
      </c>
    </row>
    <row r="219" spans="1:28" ht="15" customHeight="1" x14ac:dyDescent="0.25">
      <c r="A219" s="19" t="s">
        <v>273</v>
      </c>
      <c r="B219" s="40"/>
      <c r="C219" s="40" t="s">
        <v>56</v>
      </c>
      <c r="D219" s="40" t="s">
        <v>15</v>
      </c>
      <c r="E219" s="40" t="s">
        <v>639</v>
      </c>
      <c r="F219" s="40" t="s">
        <v>269</v>
      </c>
      <c r="G219" s="29"/>
      <c r="I219" s="47"/>
      <c r="K219" s="47"/>
      <c r="M219" s="47"/>
      <c r="O219" s="47"/>
      <c r="P219" s="30"/>
      <c r="Q219" s="47"/>
      <c r="S219" s="47"/>
      <c r="V219" s="47"/>
      <c r="W219" s="30">
        <v>430.9</v>
      </c>
      <c r="X219" s="47">
        <f>V219+W219</f>
        <v>430.9</v>
      </c>
      <c r="Z219" s="47">
        <f>X219+Y219</f>
        <v>430.9</v>
      </c>
      <c r="AA219" s="86">
        <v>430.9</v>
      </c>
      <c r="AB219" s="85">
        <f t="shared" si="205"/>
        <v>1</v>
      </c>
    </row>
    <row r="220" spans="1:28" ht="15" customHeight="1" x14ac:dyDescent="0.25">
      <c r="A220" s="19" t="s">
        <v>371</v>
      </c>
      <c r="B220" s="40"/>
      <c r="C220" s="40" t="s">
        <v>56</v>
      </c>
      <c r="D220" s="40" t="s">
        <v>15</v>
      </c>
      <c r="E220" s="40" t="s">
        <v>370</v>
      </c>
      <c r="F220" s="40"/>
      <c r="G220" s="29">
        <f>G221+G226+G230</f>
        <v>43157.100000000006</v>
      </c>
      <c r="I220" s="47">
        <f>I221+I226+I230</f>
        <v>45281.1</v>
      </c>
      <c r="K220" s="47">
        <f>K221+K226+K230</f>
        <v>45281.1</v>
      </c>
      <c r="M220" s="47">
        <f>M221+M226+M230</f>
        <v>45061.5</v>
      </c>
      <c r="O220" s="47">
        <f>O221+O226+O230</f>
        <v>45931.94</v>
      </c>
      <c r="P220" s="30"/>
      <c r="Q220" s="47">
        <f>Q221+Q226+Q230</f>
        <v>45931.94</v>
      </c>
      <c r="S220" s="47">
        <f>S221+S226+S230+S224</f>
        <v>46280.789999999994</v>
      </c>
      <c r="V220" s="47">
        <f>V221+V226+V230+V224</f>
        <v>46280.789999999994</v>
      </c>
      <c r="X220" s="47">
        <f>X221+X226+X230+X224</f>
        <v>46300.149999999994</v>
      </c>
      <c r="Z220" s="47">
        <f>Z221+Z226+Z230+Z224</f>
        <v>46121.359999999993</v>
      </c>
      <c r="AA220" s="47">
        <f>AA221+AA226+AA230+AA224</f>
        <v>45602.65</v>
      </c>
      <c r="AB220" s="85">
        <f t="shared" si="205"/>
        <v>0.98875336720339568</v>
      </c>
    </row>
    <row r="221" spans="1:28" ht="30.75" customHeight="1" x14ac:dyDescent="0.25">
      <c r="A221" s="19" t="s">
        <v>372</v>
      </c>
      <c r="B221" s="40"/>
      <c r="C221" s="40" t="s">
        <v>56</v>
      </c>
      <c r="D221" s="40" t="s">
        <v>15</v>
      </c>
      <c r="E221" s="40" t="s">
        <v>369</v>
      </c>
      <c r="F221" s="40"/>
      <c r="G221" s="29">
        <f>G222</f>
        <v>104.7</v>
      </c>
      <c r="I221" s="47">
        <f>I222</f>
        <v>104.7</v>
      </c>
      <c r="K221" s="47">
        <f>K222</f>
        <v>104.7</v>
      </c>
      <c r="M221" s="47">
        <f>M222+M223</f>
        <v>104.7</v>
      </c>
      <c r="O221" s="47">
        <f>O222+O223</f>
        <v>104.7</v>
      </c>
      <c r="P221" s="30"/>
      <c r="Q221" s="47">
        <f>Q222+Q223</f>
        <v>104.7</v>
      </c>
      <c r="S221" s="47">
        <f>S222+S223</f>
        <v>104.7</v>
      </c>
      <c r="V221" s="47">
        <f>V222+V223</f>
        <v>104.7</v>
      </c>
      <c r="X221" s="47">
        <f>X222+X223</f>
        <v>104.7</v>
      </c>
      <c r="Z221" s="47">
        <f>Z222+Z223</f>
        <v>96.080000000000013</v>
      </c>
      <c r="AA221" s="47">
        <f>AA222+AA223</f>
        <v>76.400000000000006</v>
      </c>
      <c r="AB221" s="85">
        <f t="shared" si="205"/>
        <v>0.79517069109075766</v>
      </c>
    </row>
    <row r="222" spans="1:28" ht="31.5" customHeight="1" x14ac:dyDescent="0.25">
      <c r="A222" s="19" t="s">
        <v>263</v>
      </c>
      <c r="B222" s="40"/>
      <c r="C222" s="40" t="s">
        <v>56</v>
      </c>
      <c r="D222" s="40" t="s">
        <v>15</v>
      </c>
      <c r="E222" s="40" t="s">
        <v>369</v>
      </c>
      <c r="F222" s="40" t="s">
        <v>264</v>
      </c>
      <c r="G222" s="29">
        <v>104.7</v>
      </c>
      <c r="I222" s="47">
        <f t="shared" ref="I222:K222" si="219">G222+H222</f>
        <v>104.7</v>
      </c>
      <c r="K222" s="47">
        <f t="shared" si="219"/>
        <v>104.7</v>
      </c>
      <c r="L222" s="30">
        <v>-52.4</v>
      </c>
      <c r="M222" s="47">
        <f t="shared" ref="M222:M223" si="220">K222+L222</f>
        <v>52.300000000000004</v>
      </c>
      <c r="O222" s="47">
        <f t="shared" ref="O222:O223" si="221">M222+N222</f>
        <v>52.300000000000004</v>
      </c>
      <c r="P222" s="30"/>
      <c r="Q222" s="47">
        <f t="shared" ref="Q222:Q223" si="222">O222+P222</f>
        <v>52.300000000000004</v>
      </c>
      <c r="S222" s="47">
        <f t="shared" ref="S222:S225" si="223">Q222+R222</f>
        <v>52.300000000000004</v>
      </c>
      <c r="V222" s="47">
        <f>S222+U222</f>
        <v>52.300000000000004</v>
      </c>
      <c r="X222" s="47">
        <f>V222+W222</f>
        <v>52.300000000000004</v>
      </c>
      <c r="Z222" s="47">
        <f>X222+Y222</f>
        <v>52.300000000000004</v>
      </c>
      <c r="AA222" s="86">
        <v>52.3</v>
      </c>
      <c r="AB222" s="85">
        <f t="shared" si="205"/>
        <v>0.99999999999999989</v>
      </c>
    </row>
    <row r="223" spans="1:28" ht="31.5" customHeight="1" x14ac:dyDescent="0.25">
      <c r="A223" s="19" t="s">
        <v>267</v>
      </c>
      <c r="B223" s="40"/>
      <c r="C223" s="40" t="s">
        <v>56</v>
      </c>
      <c r="D223" s="40" t="s">
        <v>15</v>
      </c>
      <c r="E223" s="40" t="s">
        <v>369</v>
      </c>
      <c r="F223" s="40" t="s">
        <v>268</v>
      </c>
      <c r="G223" s="29"/>
      <c r="I223" s="47"/>
      <c r="K223" s="47"/>
      <c r="L223" s="30">
        <v>52.4</v>
      </c>
      <c r="M223" s="47">
        <f t="shared" si="220"/>
        <v>52.4</v>
      </c>
      <c r="O223" s="47">
        <f t="shared" si="221"/>
        <v>52.4</v>
      </c>
      <c r="P223" s="30"/>
      <c r="Q223" s="47">
        <f t="shared" si="222"/>
        <v>52.4</v>
      </c>
      <c r="S223" s="47">
        <f t="shared" si="223"/>
        <v>52.4</v>
      </c>
      <c r="V223" s="47">
        <f>S223+U223</f>
        <v>52.4</v>
      </c>
      <c r="X223" s="47">
        <f>V223+W223</f>
        <v>52.4</v>
      </c>
      <c r="Y223" s="30">
        <v>-8.6199999999999992</v>
      </c>
      <c r="Z223" s="47">
        <f>X223+Y223</f>
        <v>43.78</v>
      </c>
      <c r="AA223" s="86">
        <v>24.1</v>
      </c>
      <c r="AB223" s="85">
        <f t="shared" si="205"/>
        <v>0.55047967108268614</v>
      </c>
    </row>
    <row r="224" spans="1:28" ht="24.75" customHeight="1" x14ac:dyDescent="0.25">
      <c r="A224" s="19" t="s">
        <v>582</v>
      </c>
      <c r="B224" s="40"/>
      <c r="C224" s="40" t="s">
        <v>56</v>
      </c>
      <c r="D224" s="40" t="s">
        <v>15</v>
      </c>
      <c r="E224" s="40" t="s">
        <v>581</v>
      </c>
      <c r="F224" s="40"/>
      <c r="G224" s="29"/>
      <c r="I224" s="47"/>
      <c r="K224" s="47"/>
      <c r="M224" s="47"/>
      <c r="O224" s="47"/>
      <c r="P224" s="30"/>
      <c r="Q224" s="47"/>
      <c r="S224" s="47">
        <f>S225</f>
        <v>634.27</v>
      </c>
      <c r="V224" s="47">
        <f>V225</f>
        <v>634.27</v>
      </c>
      <c r="X224" s="47">
        <f>X225</f>
        <v>634.27</v>
      </c>
      <c r="Z224" s="47">
        <f>Z225</f>
        <v>464.1</v>
      </c>
      <c r="AA224" s="47">
        <f>AA225</f>
        <v>464.1</v>
      </c>
      <c r="AB224" s="85">
        <f t="shared" si="205"/>
        <v>1</v>
      </c>
    </row>
    <row r="225" spans="1:28" ht="18" customHeight="1" x14ac:dyDescent="0.25">
      <c r="A225" s="19" t="s">
        <v>273</v>
      </c>
      <c r="B225" s="40"/>
      <c r="C225" s="40" t="s">
        <v>56</v>
      </c>
      <c r="D225" s="40" t="s">
        <v>15</v>
      </c>
      <c r="E225" s="40" t="s">
        <v>581</v>
      </c>
      <c r="F225" s="40" t="s">
        <v>269</v>
      </c>
      <c r="G225" s="29"/>
      <c r="I225" s="47"/>
      <c r="K225" s="47"/>
      <c r="M225" s="47"/>
      <c r="O225" s="47"/>
      <c r="P225" s="30"/>
      <c r="Q225" s="47"/>
      <c r="R225" s="30">
        <v>634.27</v>
      </c>
      <c r="S225" s="47">
        <f t="shared" si="223"/>
        <v>634.27</v>
      </c>
      <c r="V225" s="47">
        <f>S225+U225</f>
        <v>634.27</v>
      </c>
      <c r="X225" s="47">
        <f>V225+W225</f>
        <v>634.27</v>
      </c>
      <c r="Z225" s="47">
        <f>X225+Y225-170.17</f>
        <v>464.1</v>
      </c>
      <c r="AA225" s="86">
        <v>464.1</v>
      </c>
      <c r="AB225" s="85">
        <f t="shared" si="205"/>
        <v>1</v>
      </c>
    </row>
    <row r="226" spans="1:28" ht="17.25" customHeight="1" x14ac:dyDescent="0.25">
      <c r="A226" s="19" t="s">
        <v>52</v>
      </c>
      <c r="B226" s="40"/>
      <c r="C226" s="40" t="s">
        <v>56</v>
      </c>
      <c r="D226" s="40" t="s">
        <v>15</v>
      </c>
      <c r="E226" s="40" t="s">
        <v>262</v>
      </c>
      <c r="F226" s="40"/>
      <c r="G226" s="29">
        <f>G227</f>
        <v>12457</v>
      </c>
      <c r="I226" s="47">
        <f>I227</f>
        <v>13208.9</v>
      </c>
      <c r="K226" s="47">
        <f>K227</f>
        <v>13208.9</v>
      </c>
      <c r="M226" s="47">
        <f>M227</f>
        <v>13145.73</v>
      </c>
      <c r="O226" s="47">
        <f>O227</f>
        <v>13301.949999999999</v>
      </c>
      <c r="P226" s="30"/>
      <c r="Q226" s="47">
        <f>Q227</f>
        <v>13301.949999999999</v>
      </c>
      <c r="S226" s="47">
        <f>S227</f>
        <v>13322.949999999999</v>
      </c>
      <c r="V226" s="47">
        <f>V227</f>
        <v>13322.949999999999</v>
      </c>
      <c r="X226" s="47">
        <f>X227</f>
        <v>13322.949999999999</v>
      </c>
      <c r="Z226" s="47">
        <f>Z227</f>
        <v>13322.949999999999</v>
      </c>
      <c r="AA226" s="47">
        <f>AA227</f>
        <v>13305.75</v>
      </c>
      <c r="AB226" s="85">
        <f t="shared" si="205"/>
        <v>0.99870899462956786</v>
      </c>
    </row>
    <row r="227" spans="1:28" x14ac:dyDescent="0.25">
      <c r="A227" s="19" t="s">
        <v>272</v>
      </c>
      <c r="B227" s="40"/>
      <c r="C227" s="40" t="s">
        <v>56</v>
      </c>
      <c r="D227" s="40" t="s">
        <v>15</v>
      </c>
      <c r="E227" s="40" t="s">
        <v>262</v>
      </c>
      <c r="F227" s="40" t="s">
        <v>271</v>
      </c>
      <c r="G227" s="29">
        <f>G228+G229</f>
        <v>12457</v>
      </c>
      <c r="I227" s="47">
        <f>I228+I229</f>
        <v>13208.9</v>
      </c>
      <c r="K227" s="47">
        <f>K228+K229</f>
        <v>13208.9</v>
      </c>
      <c r="M227" s="47">
        <f>M228+M229</f>
        <v>13145.73</v>
      </c>
      <c r="O227" s="47">
        <f>O228+O229</f>
        <v>13301.949999999999</v>
      </c>
      <c r="P227" s="30"/>
      <c r="Q227" s="47">
        <f>Q228+Q229</f>
        <v>13301.949999999999</v>
      </c>
      <c r="S227" s="47">
        <f>S228+S229</f>
        <v>13322.949999999999</v>
      </c>
      <c r="V227" s="47">
        <f>V228+V229</f>
        <v>13322.949999999999</v>
      </c>
      <c r="X227" s="47">
        <f>X228+X229</f>
        <v>13322.949999999999</v>
      </c>
      <c r="Z227" s="47">
        <f>Z228+Z229</f>
        <v>13322.949999999999</v>
      </c>
      <c r="AA227" s="47">
        <f>AA228+AA229</f>
        <v>13305.75</v>
      </c>
      <c r="AB227" s="85">
        <f t="shared" si="205"/>
        <v>0.99870899462956786</v>
      </c>
    </row>
    <row r="228" spans="1:28" ht="28.5" customHeight="1" x14ac:dyDescent="0.25">
      <c r="A228" s="19" t="s">
        <v>263</v>
      </c>
      <c r="B228" s="40"/>
      <c r="C228" s="40" t="s">
        <v>56</v>
      </c>
      <c r="D228" s="40" t="s">
        <v>15</v>
      </c>
      <c r="E228" s="40" t="s">
        <v>262</v>
      </c>
      <c r="F228" s="40" t="s">
        <v>264</v>
      </c>
      <c r="G228" s="29">
        <v>12405</v>
      </c>
      <c r="H228" s="52">
        <f>40.8+541.3+137.8</f>
        <v>719.89999999999986</v>
      </c>
      <c r="I228" s="47">
        <f t="shared" ref="I228:K235" si="224">G228+H228</f>
        <v>13124.9</v>
      </c>
      <c r="J228" s="28">
        <v>-679.1</v>
      </c>
      <c r="K228" s="47">
        <f t="shared" si="224"/>
        <v>12445.8</v>
      </c>
      <c r="M228" s="47">
        <f t="shared" ref="M228:M229" si="225">K228+L228</f>
        <v>12445.8</v>
      </c>
      <c r="O228" s="47">
        <f t="shared" ref="O228:O229" si="226">M228+N228</f>
        <v>12445.8</v>
      </c>
      <c r="P228" s="30"/>
      <c r="Q228" s="47">
        <f t="shared" ref="Q228:Q229" si="227">O228+P228</f>
        <v>12445.8</v>
      </c>
      <c r="S228" s="47">
        <f t="shared" ref="S228:S229" si="228">Q228+R228</f>
        <v>12445.8</v>
      </c>
      <c r="V228" s="47">
        <f>S228+U228</f>
        <v>12445.8</v>
      </c>
      <c r="X228" s="47">
        <f>V228+W228</f>
        <v>12445.8</v>
      </c>
      <c r="Z228" s="47">
        <f>X228+Y228</f>
        <v>12445.8</v>
      </c>
      <c r="AA228" s="86">
        <v>12445.8</v>
      </c>
      <c r="AB228" s="85">
        <f t="shared" si="205"/>
        <v>1</v>
      </c>
    </row>
    <row r="229" spans="1:28" ht="15" customHeight="1" x14ac:dyDescent="0.25">
      <c r="A229" s="19" t="s">
        <v>266</v>
      </c>
      <c r="B229" s="40"/>
      <c r="C229" s="40" t="s">
        <v>56</v>
      </c>
      <c r="D229" s="40" t="s">
        <v>15</v>
      </c>
      <c r="E229" s="40" t="s">
        <v>262</v>
      </c>
      <c r="F229" s="40" t="s">
        <v>265</v>
      </c>
      <c r="G229" s="29">
        <v>52</v>
      </c>
      <c r="H229" s="52">
        <v>32</v>
      </c>
      <c r="I229" s="47">
        <f t="shared" si="224"/>
        <v>84</v>
      </c>
      <c r="J229" s="28">
        <v>679.1</v>
      </c>
      <c r="K229" s="47">
        <f t="shared" si="224"/>
        <v>763.1</v>
      </c>
      <c r="L229" s="30">
        <v>-63.17</v>
      </c>
      <c r="M229" s="47">
        <f t="shared" si="225"/>
        <v>699.93000000000006</v>
      </c>
      <c r="N229" s="30">
        <f>21.5+59.95+65+9.77</f>
        <v>156.22</v>
      </c>
      <c r="O229" s="47">
        <f t="shared" si="226"/>
        <v>856.15000000000009</v>
      </c>
      <c r="P229" s="30"/>
      <c r="Q229" s="47">
        <f t="shared" si="227"/>
        <v>856.15000000000009</v>
      </c>
      <c r="R229" s="30">
        <f>-65+86</f>
        <v>21</v>
      </c>
      <c r="S229" s="47">
        <f t="shared" si="228"/>
        <v>877.15000000000009</v>
      </c>
      <c r="V229" s="47">
        <f>S229+U229</f>
        <v>877.15000000000009</v>
      </c>
      <c r="X229" s="47">
        <f>V229+W229</f>
        <v>877.15000000000009</v>
      </c>
      <c r="Z229" s="47">
        <f>X229+Y229</f>
        <v>877.15000000000009</v>
      </c>
      <c r="AA229" s="86">
        <v>859.95</v>
      </c>
      <c r="AB229" s="85">
        <f t="shared" si="205"/>
        <v>0.98039103916091885</v>
      </c>
    </row>
    <row r="230" spans="1:28" ht="15" customHeight="1" x14ac:dyDescent="0.25">
      <c r="A230" s="19" t="s">
        <v>52</v>
      </c>
      <c r="B230" s="40"/>
      <c r="C230" s="40" t="s">
        <v>56</v>
      </c>
      <c r="D230" s="40" t="s">
        <v>15</v>
      </c>
      <c r="E230" s="40" t="s">
        <v>262</v>
      </c>
      <c r="F230" s="40"/>
      <c r="G230" s="29">
        <f>G231+G232</f>
        <v>30595.4</v>
      </c>
      <c r="I230" s="47">
        <f>I231+I232</f>
        <v>31967.5</v>
      </c>
      <c r="K230" s="47">
        <f>K231+K232</f>
        <v>31967.5</v>
      </c>
      <c r="M230" s="47">
        <f>M231+M232</f>
        <v>31811.07</v>
      </c>
      <c r="O230" s="47">
        <f>O231+O232</f>
        <v>32525.29</v>
      </c>
      <c r="P230" s="30"/>
      <c r="Q230" s="47">
        <f>Q231+Q232</f>
        <v>32525.29</v>
      </c>
      <c r="S230" s="47">
        <f>S231+S232</f>
        <v>32218.87</v>
      </c>
      <c r="V230" s="47">
        <f>V231+V232</f>
        <v>32218.87</v>
      </c>
      <c r="X230" s="47">
        <f>X231+X232</f>
        <v>32238.23</v>
      </c>
      <c r="Z230" s="47">
        <f>Z231+Z232</f>
        <v>32238.23</v>
      </c>
      <c r="AA230" s="47">
        <f>AA231+AA232</f>
        <v>31756.400000000001</v>
      </c>
      <c r="AB230" s="85">
        <f t="shared" si="205"/>
        <v>0.98505408020229401</v>
      </c>
    </row>
    <row r="231" spans="1:28" ht="31.5" customHeight="1" x14ac:dyDescent="0.25">
      <c r="A231" s="19" t="s">
        <v>267</v>
      </c>
      <c r="B231" s="40"/>
      <c r="C231" s="40" t="s">
        <v>56</v>
      </c>
      <c r="D231" s="40" t="s">
        <v>15</v>
      </c>
      <c r="E231" s="40" t="s">
        <v>262</v>
      </c>
      <c r="F231" s="40" t="s">
        <v>268</v>
      </c>
      <c r="G231" s="29">
        <v>29317.9</v>
      </c>
      <c r="H231" s="52">
        <f>-371.2+72.7+1224.4+446.2</f>
        <v>1372.1000000000001</v>
      </c>
      <c r="I231" s="47">
        <f t="shared" si="224"/>
        <v>30690</v>
      </c>
      <c r="J231" s="28">
        <v>-1670.7</v>
      </c>
      <c r="K231" s="47">
        <f t="shared" si="224"/>
        <v>29019.3</v>
      </c>
      <c r="M231" s="47">
        <f t="shared" ref="M231:M232" si="229">K231+L231</f>
        <v>29019.3</v>
      </c>
      <c r="O231" s="47">
        <f t="shared" ref="O231:O232" si="230">M231+N231</f>
        <v>29019.3</v>
      </c>
      <c r="P231" s="30"/>
      <c r="Q231" s="47">
        <f t="shared" ref="Q231:Q232" si="231">O231+P231</f>
        <v>29019.3</v>
      </c>
      <c r="R231" s="30">
        <v>129.77000000000001</v>
      </c>
      <c r="S231" s="47">
        <f t="shared" ref="S231:S232" si="232">Q231+R231</f>
        <v>29149.07</v>
      </c>
      <c r="T231" s="70">
        <v>129.77000000000001</v>
      </c>
      <c r="V231" s="47">
        <f>S231+U231</f>
        <v>29149.07</v>
      </c>
      <c r="X231" s="47">
        <f>V231+W231</f>
        <v>29149.07</v>
      </c>
      <c r="Z231" s="47">
        <f>X231+Y231</f>
        <v>29149.07</v>
      </c>
      <c r="AA231" s="86">
        <v>28693.95</v>
      </c>
      <c r="AB231" s="85">
        <f t="shared" si="205"/>
        <v>0.98438646584608025</v>
      </c>
    </row>
    <row r="232" spans="1:28" x14ac:dyDescent="0.25">
      <c r="A232" s="19" t="s">
        <v>270</v>
      </c>
      <c r="B232" s="40"/>
      <c r="C232" s="40" t="s">
        <v>56</v>
      </c>
      <c r="D232" s="40" t="s">
        <v>15</v>
      </c>
      <c r="E232" s="40" t="s">
        <v>262</v>
      </c>
      <c r="F232" s="40" t="s">
        <v>269</v>
      </c>
      <c r="G232" s="29">
        <v>1277.5</v>
      </c>
      <c r="I232" s="47">
        <f t="shared" si="224"/>
        <v>1277.5</v>
      </c>
      <c r="J232" s="28">
        <v>1670.7</v>
      </c>
      <c r="K232" s="47">
        <f t="shared" si="224"/>
        <v>2948.2</v>
      </c>
      <c r="L232" s="30">
        <v>-156.43</v>
      </c>
      <c r="M232" s="47">
        <f t="shared" si="229"/>
        <v>2791.77</v>
      </c>
      <c r="N232" s="30">
        <f>634.27+20+59.95</f>
        <v>714.22</v>
      </c>
      <c r="O232" s="47">
        <f t="shared" si="230"/>
        <v>3505.99</v>
      </c>
      <c r="P232" s="30"/>
      <c r="Q232" s="47">
        <f t="shared" si="231"/>
        <v>3505.99</v>
      </c>
      <c r="R232" s="30">
        <f>-634.27+198.08</f>
        <v>-436.18999999999994</v>
      </c>
      <c r="S232" s="47">
        <f t="shared" si="232"/>
        <v>3069.7999999999997</v>
      </c>
      <c r="T232" s="70">
        <f>99.38+98.7</f>
        <v>198.07999999999998</v>
      </c>
      <c r="V232" s="47">
        <f>S232+U232</f>
        <v>3069.7999999999997</v>
      </c>
      <c r="W232" s="30">
        <v>19.36</v>
      </c>
      <c r="X232" s="47">
        <f>V232+W232</f>
        <v>3089.16</v>
      </c>
      <c r="Z232" s="47">
        <f>X232+Y232</f>
        <v>3089.16</v>
      </c>
      <c r="AA232" s="86">
        <v>3062.45</v>
      </c>
      <c r="AB232" s="85">
        <f t="shared" si="205"/>
        <v>0.99135363658729236</v>
      </c>
    </row>
    <row r="233" spans="1:28" ht="27.75" customHeight="1" x14ac:dyDescent="0.25">
      <c r="A233" s="19" t="s">
        <v>410</v>
      </c>
      <c r="B233" s="40"/>
      <c r="C233" s="40" t="s">
        <v>56</v>
      </c>
      <c r="D233" s="40" t="s">
        <v>15</v>
      </c>
      <c r="E233" s="40" t="s">
        <v>409</v>
      </c>
      <c r="F233" s="40"/>
      <c r="G233" s="29"/>
      <c r="I233" s="47"/>
      <c r="K233" s="47">
        <f>K234+K235</f>
        <v>1838.5300000000002</v>
      </c>
      <c r="M233" s="47">
        <f>M234+M235</f>
        <v>1838.5300000000002</v>
      </c>
      <c r="O233" s="47">
        <f>O234+O235</f>
        <v>1838.5300000000002</v>
      </c>
      <c r="P233" s="30"/>
      <c r="Q233" s="47">
        <f>Q234+Q235</f>
        <v>1838.5300000000002</v>
      </c>
      <c r="S233" s="47">
        <f>S234+S235</f>
        <v>1838.5300000000002</v>
      </c>
      <c r="V233" s="47">
        <f>V234+V235</f>
        <v>1838.5300000000002</v>
      </c>
      <c r="X233" s="47">
        <f>X234+X235</f>
        <v>1838.5300000000002</v>
      </c>
      <c r="Z233" s="47">
        <f>Z234+Z235</f>
        <v>1838.5300000000002</v>
      </c>
      <c r="AA233" s="47">
        <f>AA234+AA235</f>
        <v>1838.35</v>
      </c>
      <c r="AB233" s="85">
        <f t="shared" si="205"/>
        <v>0.99990209569601785</v>
      </c>
    </row>
    <row r="234" spans="1:28" ht="31.5" x14ac:dyDescent="0.25">
      <c r="A234" s="19" t="s">
        <v>263</v>
      </c>
      <c r="B234" s="40"/>
      <c r="C234" s="40" t="s">
        <v>56</v>
      </c>
      <c r="D234" s="40" t="s">
        <v>15</v>
      </c>
      <c r="E234" s="40" t="s">
        <v>409</v>
      </c>
      <c r="F234" s="40" t="s">
        <v>264</v>
      </c>
      <c r="G234" s="29"/>
      <c r="I234" s="47"/>
      <c r="J234" s="28">
        <v>546.15</v>
      </c>
      <c r="K234" s="47">
        <f t="shared" si="224"/>
        <v>546.15</v>
      </c>
      <c r="M234" s="47">
        <f t="shared" ref="M234:M235" si="233">K234+L234</f>
        <v>546.15</v>
      </c>
      <c r="O234" s="47">
        <f t="shared" ref="O234:O235" si="234">M234+N234</f>
        <v>546.15</v>
      </c>
      <c r="P234" s="30"/>
      <c r="Q234" s="47">
        <f t="shared" ref="Q234:Q235" si="235">O234+P234</f>
        <v>546.15</v>
      </c>
      <c r="S234" s="47">
        <f t="shared" ref="S234:S237" si="236">Q234+R234</f>
        <v>546.15</v>
      </c>
      <c r="V234" s="47">
        <f>S234+U234</f>
        <v>546.15</v>
      </c>
      <c r="X234" s="47">
        <f>V234+W234</f>
        <v>546.15</v>
      </c>
      <c r="Z234" s="47">
        <f>X234+Y234</f>
        <v>546.15</v>
      </c>
      <c r="AA234" s="86">
        <v>546.15</v>
      </c>
      <c r="AB234" s="85">
        <f t="shared" si="205"/>
        <v>1</v>
      </c>
    </row>
    <row r="235" spans="1:28" ht="31.5" x14ac:dyDescent="0.25">
      <c r="A235" s="19" t="s">
        <v>267</v>
      </c>
      <c r="B235" s="40"/>
      <c r="C235" s="40" t="s">
        <v>56</v>
      </c>
      <c r="D235" s="40" t="s">
        <v>15</v>
      </c>
      <c r="E235" s="40" t="s">
        <v>409</v>
      </c>
      <c r="F235" s="40" t="s">
        <v>268</v>
      </c>
      <c r="G235" s="29"/>
      <c r="I235" s="47"/>
      <c r="J235" s="28">
        <v>1292.3800000000001</v>
      </c>
      <c r="K235" s="47">
        <f t="shared" si="224"/>
        <v>1292.3800000000001</v>
      </c>
      <c r="M235" s="47">
        <f t="shared" si="233"/>
        <v>1292.3800000000001</v>
      </c>
      <c r="O235" s="47">
        <f t="shared" si="234"/>
        <v>1292.3800000000001</v>
      </c>
      <c r="P235" s="30"/>
      <c r="Q235" s="47">
        <f t="shared" si="235"/>
        <v>1292.3800000000001</v>
      </c>
      <c r="S235" s="47">
        <f t="shared" si="236"/>
        <v>1292.3800000000001</v>
      </c>
      <c r="V235" s="47">
        <f>S235+U235</f>
        <v>1292.3800000000001</v>
      </c>
      <c r="X235" s="47">
        <f>V235+W235</f>
        <v>1292.3800000000001</v>
      </c>
      <c r="Z235" s="47">
        <f>X235+Y235</f>
        <v>1292.3800000000001</v>
      </c>
      <c r="AA235" s="86">
        <v>1292.2</v>
      </c>
      <c r="AB235" s="85">
        <f t="shared" si="205"/>
        <v>0.99986072207864551</v>
      </c>
    </row>
    <row r="236" spans="1:28" ht="31.5" x14ac:dyDescent="0.25">
      <c r="A236" s="19" t="s">
        <v>587</v>
      </c>
      <c r="B236" s="40"/>
      <c r="C236" s="40" t="s">
        <v>56</v>
      </c>
      <c r="D236" s="40" t="s">
        <v>15</v>
      </c>
      <c r="E236" s="40" t="s">
        <v>583</v>
      </c>
      <c r="F236" s="40"/>
      <c r="G236" s="29"/>
      <c r="I236" s="47"/>
      <c r="K236" s="47"/>
      <c r="M236" s="47"/>
      <c r="O236" s="47"/>
      <c r="P236" s="30"/>
      <c r="Q236" s="47"/>
      <c r="S236" s="47">
        <f>S237</f>
        <v>100</v>
      </c>
      <c r="V236" s="47">
        <f>V237</f>
        <v>100</v>
      </c>
      <c r="X236" s="47">
        <f>X237</f>
        <v>100</v>
      </c>
      <c r="Z236" s="47">
        <f>Z237</f>
        <v>100</v>
      </c>
      <c r="AA236" s="47">
        <f>AA237</f>
        <v>100</v>
      </c>
      <c r="AB236" s="85">
        <f t="shared" si="205"/>
        <v>1</v>
      </c>
    </row>
    <row r="237" spans="1:28" x14ac:dyDescent="0.25">
      <c r="A237" s="19" t="s">
        <v>270</v>
      </c>
      <c r="B237" s="40"/>
      <c r="C237" s="40" t="s">
        <v>56</v>
      </c>
      <c r="D237" s="40" t="s">
        <v>15</v>
      </c>
      <c r="E237" s="40" t="s">
        <v>583</v>
      </c>
      <c r="F237" s="40" t="s">
        <v>269</v>
      </c>
      <c r="G237" s="29"/>
      <c r="I237" s="47"/>
      <c r="K237" s="47"/>
      <c r="M237" s="47"/>
      <c r="O237" s="47"/>
      <c r="P237" s="30"/>
      <c r="Q237" s="47"/>
      <c r="R237" s="30">
        <v>100</v>
      </c>
      <c r="S237" s="47">
        <f t="shared" si="236"/>
        <v>100</v>
      </c>
      <c r="V237" s="47">
        <f>S237+U237</f>
        <v>100</v>
      </c>
      <c r="X237" s="47">
        <f>V237+W237</f>
        <v>100</v>
      </c>
      <c r="Z237" s="47">
        <f>X237+Y237</f>
        <v>100</v>
      </c>
      <c r="AA237" s="86">
        <v>100</v>
      </c>
      <c r="AB237" s="85">
        <f t="shared" si="205"/>
        <v>1</v>
      </c>
    </row>
    <row r="238" spans="1:28" x14ac:dyDescent="0.25">
      <c r="A238" s="42" t="s">
        <v>80</v>
      </c>
      <c r="B238" s="35"/>
      <c r="C238" s="35" t="s">
        <v>56</v>
      </c>
      <c r="D238" s="35" t="s">
        <v>17</v>
      </c>
      <c r="E238" s="35"/>
      <c r="F238" s="35"/>
      <c r="G238" s="36">
        <f>G243+G250+G259</f>
        <v>78991.299999999988</v>
      </c>
      <c r="I238" s="48">
        <f>I243+I250+I259</f>
        <v>80403.7</v>
      </c>
      <c r="K238" s="48">
        <f>K243+K250+K259+K263+K271+K278+K280+K283+K239</f>
        <v>84939.93</v>
      </c>
      <c r="M238" s="48">
        <f>M243+M250+M259+M263+M271+M278+M280+M283+M239+M265+M268</f>
        <v>93221.25999999998</v>
      </c>
      <c r="O238" s="48">
        <f>O243+O250+O259+O263+O271+O278+O280+O283+O239+O265+O268+O276</f>
        <v>94181.559999999983</v>
      </c>
      <c r="P238" s="30"/>
      <c r="Q238" s="48">
        <f>Q243+Q250+Q259+Q263+Q271+Q278+Q280+Q283+Q239+Q265+Q268+Q276</f>
        <v>94181.559999999983</v>
      </c>
      <c r="S238" s="48">
        <f>S243+S250+S259+S263+S271+S278+S280+S283+S239+S265+S268+S276+S285</f>
        <v>95400.409999999974</v>
      </c>
      <c r="V238" s="48">
        <f>V243+V250+V259+V263+V271+V278+V280+V283+V239+V265+V268+V276+V285</f>
        <v>95400.409999999974</v>
      </c>
      <c r="X238" s="48">
        <f>X243+X250+X259+X263+X271+X278+X280+X283+X239+X265+X268+X276+X285+X241+X274</f>
        <v>95930.62999999999</v>
      </c>
      <c r="Z238" s="48">
        <f>Z243+Z250+Z259+Z263+Z271+Z278+Z280+Z283+Z239+Z265+Z268+Z276+Z285+Z241+Z274</f>
        <v>96042.23</v>
      </c>
      <c r="AA238" s="48">
        <f>AA243+AA250+AA259+AA263+AA271+AA278+AA280+AA283+AA239+AA265+AA268+AA276+AA285+AA241+AA274</f>
        <v>95890.849999999991</v>
      </c>
      <c r="AB238" s="87">
        <f t="shared" si="205"/>
        <v>0.99842381835573779</v>
      </c>
    </row>
    <row r="239" spans="1:28" ht="47.25" x14ac:dyDescent="0.25">
      <c r="A239" s="19" t="s">
        <v>556</v>
      </c>
      <c r="B239" s="40"/>
      <c r="C239" s="40" t="s">
        <v>56</v>
      </c>
      <c r="D239" s="40" t="s">
        <v>17</v>
      </c>
      <c r="E239" s="40" t="s">
        <v>405</v>
      </c>
      <c r="F239" s="40"/>
      <c r="G239" s="29"/>
      <c r="I239" s="47"/>
      <c r="K239" s="47">
        <f>K240</f>
        <v>7.01</v>
      </c>
      <c r="M239" s="47">
        <f>M240</f>
        <v>7.01</v>
      </c>
      <c r="O239" s="47">
        <f>O240</f>
        <v>7.01</v>
      </c>
      <c r="P239" s="30"/>
      <c r="Q239" s="47">
        <f>Q240</f>
        <v>7.01</v>
      </c>
      <c r="S239" s="47">
        <f>S240</f>
        <v>7.01</v>
      </c>
      <c r="V239" s="47">
        <f>V240</f>
        <v>7.01</v>
      </c>
      <c r="X239" s="47">
        <f>X240</f>
        <v>7.01</v>
      </c>
      <c r="Z239" s="47">
        <f>Z240</f>
        <v>7.01</v>
      </c>
      <c r="AA239" s="47">
        <f>AA240</f>
        <v>7.01</v>
      </c>
      <c r="AB239" s="85">
        <f t="shared" si="205"/>
        <v>1</v>
      </c>
    </row>
    <row r="240" spans="1:28" ht="15.75" customHeight="1" x14ac:dyDescent="0.25">
      <c r="A240" s="19" t="s">
        <v>270</v>
      </c>
      <c r="B240" s="40"/>
      <c r="C240" s="40" t="s">
        <v>56</v>
      </c>
      <c r="D240" s="40" t="s">
        <v>17</v>
      </c>
      <c r="E240" s="40" t="s">
        <v>405</v>
      </c>
      <c r="F240" s="40" t="s">
        <v>269</v>
      </c>
      <c r="G240" s="29"/>
      <c r="I240" s="47"/>
      <c r="J240" s="28">
        <v>7.01</v>
      </c>
      <c r="K240" s="47">
        <f>J240+I240</f>
        <v>7.01</v>
      </c>
      <c r="M240" s="47">
        <f>L240+K240</f>
        <v>7.01</v>
      </c>
      <c r="O240" s="47">
        <f>N240+M240</f>
        <v>7.01</v>
      </c>
      <c r="P240" s="30"/>
      <c r="Q240" s="47">
        <f>P240+O240</f>
        <v>7.01</v>
      </c>
      <c r="S240" s="47">
        <f>R240+Q240</f>
        <v>7.01</v>
      </c>
      <c r="V240" s="47">
        <f>U240+S240</f>
        <v>7.01</v>
      </c>
      <c r="X240" s="47">
        <f>W240+V240</f>
        <v>7.01</v>
      </c>
      <c r="Z240" s="47">
        <f>Y240+X240</f>
        <v>7.01</v>
      </c>
      <c r="AA240" s="86">
        <v>7.01</v>
      </c>
      <c r="AB240" s="85">
        <f t="shared" si="205"/>
        <v>1</v>
      </c>
    </row>
    <row r="241" spans="1:28" ht="15.75" customHeight="1" x14ac:dyDescent="0.25">
      <c r="A241" s="19" t="s">
        <v>642</v>
      </c>
      <c r="B241" s="40"/>
      <c r="C241" s="40" t="s">
        <v>56</v>
      </c>
      <c r="D241" s="40" t="s">
        <v>17</v>
      </c>
      <c r="E241" s="40" t="s">
        <v>641</v>
      </c>
      <c r="F241" s="40"/>
      <c r="G241" s="29"/>
      <c r="I241" s="47"/>
      <c r="K241" s="47"/>
      <c r="M241" s="47"/>
      <c r="O241" s="47"/>
      <c r="P241" s="30"/>
      <c r="Q241" s="47"/>
      <c r="S241" s="47"/>
      <c r="V241" s="47"/>
      <c r="X241" s="47">
        <f>X242</f>
        <v>263.27</v>
      </c>
      <c r="Z241" s="47">
        <f>Z242</f>
        <v>263.27</v>
      </c>
      <c r="AA241" s="47">
        <f>AA242</f>
        <v>263.27</v>
      </c>
      <c r="AB241" s="85">
        <f t="shared" si="205"/>
        <v>1</v>
      </c>
    </row>
    <row r="242" spans="1:28" ht="15.75" customHeight="1" x14ac:dyDescent="0.25">
      <c r="A242" s="19" t="s">
        <v>270</v>
      </c>
      <c r="B242" s="40"/>
      <c r="C242" s="40" t="s">
        <v>56</v>
      </c>
      <c r="D242" s="40" t="s">
        <v>17</v>
      </c>
      <c r="E242" s="40" t="s">
        <v>641</v>
      </c>
      <c r="F242" s="40" t="s">
        <v>269</v>
      </c>
      <c r="G242" s="29"/>
      <c r="I242" s="47"/>
      <c r="K242" s="47"/>
      <c r="M242" s="47"/>
      <c r="O242" s="47"/>
      <c r="P242" s="30"/>
      <c r="Q242" s="47"/>
      <c r="S242" s="47"/>
      <c r="V242" s="47"/>
      <c r="W242" s="30">
        <v>263.27</v>
      </c>
      <c r="X242" s="47">
        <f>W242+V242</f>
        <v>263.27</v>
      </c>
      <c r="Z242" s="47">
        <f>Y242+X242</f>
        <v>263.27</v>
      </c>
      <c r="AA242" s="86">
        <v>263.27</v>
      </c>
      <c r="AB242" s="85">
        <f t="shared" si="205"/>
        <v>1</v>
      </c>
    </row>
    <row r="243" spans="1:28" ht="15" customHeight="1" x14ac:dyDescent="0.25">
      <c r="A243" s="19" t="s">
        <v>121</v>
      </c>
      <c r="B243" s="40"/>
      <c r="C243" s="40" t="s">
        <v>56</v>
      </c>
      <c r="D243" s="40" t="s">
        <v>17</v>
      </c>
      <c r="E243" s="40" t="s">
        <v>274</v>
      </c>
      <c r="F243" s="40"/>
      <c r="G243" s="29">
        <f>G244+G247</f>
        <v>10494.8</v>
      </c>
      <c r="I243" s="47">
        <f>I244+I247</f>
        <v>10716.4</v>
      </c>
      <c r="K243" s="47">
        <f>K244+K247</f>
        <v>11537.67</v>
      </c>
      <c r="M243" s="47">
        <f>M244+M247</f>
        <v>11729.25</v>
      </c>
      <c r="O243" s="47">
        <f>O244+O247</f>
        <v>12585.599999999999</v>
      </c>
      <c r="P243" s="30"/>
      <c r="Q243" s="47">
        <f>Q244+Q247</f>
        <v>12585.599999999999</v>
      </c>
      <c r="S243" s="47">
        <f>S244+S247</f>
        <v>13754.449999999999</v>
      </c>
      <c r="V243" s="47">
        <f>V244+V247</f>
        <v>13754.449999999999</v>
      </c>
      <c r="X243" s="47">
        <f>X244+X247+X257</f>
        <v>13864.580000000002</v>
      </c>
      <c r="Z243" s="47">
        <f>Z244+Z247+Z257</f>
        <v>13864.580000000002</v>
      </c>
      <c r="AA243" s="47">
        <f>AA244+AA247+AA257</f>
        <v>13802.16</v>
      </c>
      <c r="AB243" s="85">
        <f t="shared" si="205"/>
        <v>0.99549788020985841</v>
      </c>
    </row>
    <row r="244" spans="1:28" x14ac:dyDescent="0.25">
      <c r="A244" s="19" t="s">
        <v>272</v>
      </c>
      <c r="B244" s="40"/>
      <c r="C244" s="40" t="s">
        <v>56</v>
      </c>
      <c r="D244" s="40" t="s">
        <v>17</v>
      </c>
      <c r="E244" s="40" t="s">
        <v>274</v>
      </c>
      <c r="F244" s="40" t="s">
        <v>271</v>
      </c>
      <c r="G244" s="29">
        <f>G245+G246</f>
        <v>2019.3</v>
      </c>
      <c r="I244" s="47">
        <f>I245+I246</f>
        <v>2087.1</v>
      </c>
      <c r="K244" s="47">
        <f>K245+K246</f>
        <v>2087.1</v>
      </c>
      <c r="M244" s="47">
        <f>M245+M246</f>
        <v>2231.0699999999997</v>
      </c>
      <c r="O244" s="47">
        <f>O245+O246</f>
        <v>2382</v>
      </c>
      <c r="P244" s="30"/>
      <c r="Q244" s="47">
        <f>Q245+Q246</f>
        <v>2382</v>
      </c>
      <c r="S244" s="47">
        <f>S245+S246</f>
        <v>2853.8500000000004</v>
      </c>
      <c r="V244" s="47">
        <f>V245+V246</f>
        <v>2853.8500000000004</v>
      </c>
      <c r="X244" s="47">
        <f>X245+X246</f>
        <v>2867.29</v>
      </c>
      <c r="Z244" s="47">
        <f>Z245+Z246</f>
        <v>2867.29</v>
      </c>
      <c r="AA244" s="47">
        <f>AA245+AA246</f>
        <v>2812.89</v>
      </c>
      <c r="AB244" s="85">
        <f t="shared" si="205"/>
        <v>0.98102738125547118</v>
      </c>
    </row>
    <row r="245" spans="1:28" ht="29.25" customHeight="1" x14ac:dyDescent="0.25">
      <c r="A245" s="19" t="s">
        <v>263</v>
      </c>
      <c r="B245" s="40"/>
      <c r="C245" s="40" t="s">
        <v>56</v>
      </c>
      <c r="D245" s="40" t="s">
        <v>17</v>
      </c>
      <c r="E245" s="40" t="s">
        <v>274</v>
      </c>
      <c r="F245" s="40" t="s">
        <v>264</v>
      </c>
      <c r="G245" s="29">
        <v>1867.3</v>
      </c>
      <c r="H245" s="52">
        <f>-48.5+16.3</f>
        <v>-32.200000000000003</v>
      </c>
      <c r="I245" s="47">
        <f t="shared" ref="I245:K249" si="237">G245+H245</f>
        <v>1835.1</v>
      </c>
      <c r="J245" s="28">
        <v>-683.2</v>
      </c>
      <c r="K245" s="47">
        <f t="shared" si="237"/>
        <v>1151.8999999999999</v>
      </c>
      <c r="M245" s="47">
        <f t="shared" ref="M245:M246" si="238">K245+L245</f>
        <v>1151.8999999999999</v>
      </c>
      <c r="O245" s="47">
        <f t="shared" ref="O245:O246" si="239">M245+N245</f>
        <v>1151.8999999999999</v>
      </c>
      <c r="P245" s="30"/>
      <c r="Q245" s="47">
        <f t="shared" ref="Q245:Q246" si="240">O245+P245</f>
        <v>1151.8999999999999</v>
      </c>
      <c r="R245" s="30">
        <v>267.12</v>
      </c>
      <c r="S245" s="47">
        <f t="shared" ref="S245:S246" si="241">Q245+R245</f>
        <v>1419.02</v>
      </c>
      <c r="T245" s="70">
        <v>267.12</v>
      </c>
      <c r="V245" s="47">
        <f>S245+U245</f>
        <v>1419.02</v>
      </c>
      <c r="X245" s="47">
        <f>V245+W245</f>
        <v>1419.02</v>
      </c>
      <c r="Z245" s="47">
        <f>X245+Y245</f>
        <v>1419.02</v>
      </c>
      <c r="AA245" s="86">
        <v>1419.02</v>
      </c>
      <c r="AB245" s="85">
        <f t="shared" si="205"/>
        <v>1</v>
      </c>
    </row>
    <row r="246" spans="1:28" x14ac:dyDescent="0.25">
      <c r="A246" s="19" t="s">
        <v>266</v>
      </c>
      <c r="B246" s="40"/>
      <c r="C246" s="40" t="s">
        <v>56</v>
      </c>
      <c r="D246" s="40" t="s">
        <v>17</v>
      </c>
      <c r="E246" s="40" t="s">
        <v>274</v>
      </c>
      <c r="F246" s="40" t="s">
        <v>265</v>
      </c>
      <c r="G246" s="29">
        <v>152</v>
      </c>
      <c r="H246" s="52">
        <v>100</v>
      </c>
      <c r="I246" s="47">
        <f t="shared" si="237"/>
        <v>252</v>
      </c>
      <c r="J246" s="28">
        <v>683.2</v>
      </c>
      <c r="K246" s="47">
        <f t="shared" si="237"/>
        <v>935.2</v>
      </c>
      <c r="L246" s="30">
        <v>143.97</v>
      </c>
      <c r="M246" s="47">
        <f t="shared" si="238"/>
        <v>1079.17</v>
      </c>
      <c r="N246" s="30">
        <f>99.38+51.55</f>
        <v>150.93</v>
      </c>
      <c r="O246" s="47">
        <f t="shared" si="239"/>
        <v>1230.1000000000001</v>
      </c>
      <c r="P246" s="30"/>
      <c r="Q246" s="47">
        <f t="shared" si="240"/>
        <v>1230.1000000000001</v>
      </c>
      <c r="R246" s="30">
        <f>65+139.73</f>
        <v>204.73</v>
      </c>
      <c r="S246" s="47">
        <f t="shared" si="241"/>
        <v>1434.8300000000002</v>
      </c>
      <c r="T246" s="77">
        <f>114.73+25</f>
        <v>139.73000000000002</v>
      </c>
      <c r="V246" s="47">
        <f>S246+U246</f>
        <v>1434.8300000000002</v>
      </c>
      <c r="W246" s="30">
        <v>13.44</v>
      </c>
      <c r="X246" s="47">
        <f>V246+W246</f>
        <v>1448.2700000000002</v>
      </c>
      <c r="Z246" s="47">
        <f>X246+Y246</f>
        <v>1448.2700000000002</v>
      </c>
      <c r="AA246" s="86">
        <v>1393.87</v>
      </c>
      <c r="AB246" s="85">
        <f t="shared" si="205"/>
        <v>0.96243794320119846</v>
      </c>
    </row>
    <row r="247" spans="1:28" x14ac:dyDescent="0.25">
      <c r="A247" s="19" t="s">
        <v>273</v>
      </c>
      <c r="B247" s="40"/>
      <c r="C247" s="40" t="s">
        <v>56</v>
      </c>
      <c r="D247" s="40" t="s">
        <v>17</v>
      </c>
      <c r="E247" s="40" t="s">
        <v>274</v>
      </c>
      <c r="F247" s="40" t="s">
        <v>275</v>
      </c>
      <c r="G247" s="29">
        <f>G248+G249</f>
        <v>8475.5</v>
      </c>
      <c r="I247" s="47">
        <f>I248+I249</f>
        <v>8629.2999999999993</v>
      </c>
      <c r="K247" s="47">
        <f>K248+K249</f>
        <v>9450.57</v>
      </c>
      <c r="M247" s="47">
        <f>M248+M249</f>
        <v>9498.18</v>
      </c>
      <c r="O247" s="47">
        <f>O248+O249</f>
        <v>10203.599999999999</v>
      </c>
      <c r="P247" s="30"/>
      <c r="Q247" s="47">
        <f>Q248+Q249</f>
        <v>10203.599999999999</v>
      </c>
      <c r="S247" s="47">
        <f>S248+S249</f>
        <v>10900.599999999999</v>
      </c>
      <c r="V247" s="47">
        <f>V248+V249</f>
        <v>10900.599999999999</v>
      </c>
      <c r="X247" s="47">
        <f>X248+X249</f>
        <v>10927.5</v>
      </c>
      <c r="Z247" s="47">
        <f>Z248+Z249</f>
        <v>10927.5</v>
      </c>
      <c r="AA247" s="47">
        <f>AA248+AA249</f>
        <v>10919.48</v>
      </c>
      <c r="AB247" s="85">
        <f t="shared" si="205"/>
        <v>0.99926607183710814</v>
      </c>
    </row>
    <row r="248" spans="1:28" ht="31.5" customHeight="1" x14ac:dyDescent="0.25">
      <c r="A248" s="19" t="s">
        <v>267</v>
      </c>
      <c r="B248" s="40"/>
      <c r="C248" s="40" t="s">
        <v>56</v>
      </c>
      <c r="D248" s="40" t="s">
        <v>17</v>
      </c>
      <c r="E248" s="40" t="s">
        <v>274</v>
      </c>
      <c r="F248" s="40" t="s">
        <v>268</v>
      </c>
      <c r="G248" s="29">
        <v>8475.5</v>
      </c>
      <c r="H248" s="52">
        <f>-379.7+417.8+115.7</f>
        <v>153.80000000000001</v>
      </c>
      <c r="I248" s="47">
        <f t="shared" si="237"/>
        <v>8629.2999999999993</v>
      </c>
      <c r="J248" s="28">
        <v>-2429.5</v>
      </c>
      <c r="K248" s="47">
        <f t="shared" si="237"/>
        <v>6199.7999999999993</v>
      </c>
      <c r="M248" s="47">
        <f t="shared" ref="M248:M249" si="242">K248+L248</f>
        <v>6199.7999999999993</v>
      </c>
      <c r="O248" s="47">
        <f t="shared" ref="O248:O249" si="243">M248+N248</f>
        <v>6199.7999999999993</v>
      </c>
      <c r="P248" s="30"/>
      <c r="Q248" s="47">
        <f t="shared" ref="Q248:Q249" si="244">O248+P248</f>
        <v>6199.7999999999993</v>
      </c>
      <c r="S248" s="47">
        <f t="shared" ref="S248:S249" si="245">Q248+R248</f>
        <v>6199.7999999999993</v>
      </c>
      <c r="V248" s="47">
        <f>S248+U248</f>
        <v>6199.7999999999993</v>
      </c>
      <c r="X248" s="47">
        <f>V248+W248</f>
        <v>6199.7999999999993</v>
      </c>
      <c r="Z248" s="47">
        <f>X248+Y248</f>
        <v>6199.7999999999993</v>
      </c>
      <c r="AA248" s="86">
        <v>6199.4</v>
      </c>
      <c r="AB248" s="85">
        <f t="shared" si="205"/>
        <v>0.99993548178973524</v>
      </c>
    </row>
    <row r="249" spans="1:28" x14ac:dyDescent="0.25">
      <c r="A249" s="19" t="s">
        <v>270</v>
      </c>
      <c r="B249" s="40"/>
      <c r="C249" s="40" t="s">
        <v>56</v>
      </c>
      <c r="D249" s="40" t="s">
        <v>17</v>
      </c>
      <c r="E249" s="40" t="s">
        <v>274</v>
      </c>
      <c r="F249" s="40" t="s">
        <v>269</v>
      </c>
      <c r="G249" s="29"/>
      <c r="I249" s="47">
        <f t="shared" si="237"/>
        <v>0</v>
      </c>
      <c r="J249" s="28">
        <f>2429.5+821.27</f>
        <v>3250.77</v>
      </c>
      <c r="K249" s="47">
        <f t="shared" si="237"/>
        <v>3250.77</v>
      </c>
      <c r="L249" s="30">
        <v>47.61</v>
      </c>
      <c r="M249" s="47">
        <f t="shared" si="242"/>
        <v>3298.38</v>
      </c>
      <c r="N249" s="30">
        <f>26.22+172.8+135+226.9+35.96+67.95+76.55-35.96</f>
        <v>705.42</v>
      </c>
      <c r="O249" s="47">
        <f t="shared" si="243"/>
        <v>4003.8</v>
      </c>
      <c r="P249" s="30"/>
      <c r="Q249" s="47">
        <f t="shared" si="244"/>
        <v>4003.8</v>
      </c>
      <c r="R249" s="30">
        <f>26.37+670.63</f>
        <v>697</v>
      </c>
      <c r="S249" s="47">
        <f t="shared" si="245"/>
        <v>4700.8</v>
      </c>
      <c r="T249" s="70">
        <f>391.56+85+194.07</f>
        <v>670.63</v>
      </c>
      <c r="V249" s="47">
        <f>S249+U249</f>
        <v>4700.8</v>
      </c>
      <c r="W249" s="30">
        <v>26.9</v>
      </c>
      <c r="X249" s="47">
        <f>V249+W249</f>
        <v>4727.7</v>
      </c>
      <c r="Z249" s="47">
        <f>X249+Y249</f>
        <v>4727.7</v>
      </c>
      <c r="AA249" s="86">
        <v>4720.08</v>
      </c>
      <c r="AB249" s="85">
        <f t="shared" si="205"/>
        <v>0.99838822260295701</v>
      </c>
    </row>
    <row r="250" spans="1:28" ht="31.5" x14ac:dyDescent="0.25">
      <c r="A250" s="19" t="s">
        <v>342</v>
      </c>
      <c r="B250" s="40"/>
      <c r="C250" s="40" t="s">
        <v>56</v>
      </c>
      <c r="D250" s="40" t="s">
        <v>17</v>
      </c>
      <c r="E250" s="40" t="s">
        <v>276</v>
      </c>
      <c r="F250" s="40"/>
      <c r="G250" s="29">
        <f>G251+G254</f>
        <v>44426.400000000001</v>
      </c>
      <c r="I250" s="47">
        <f>I251+I254</f>
        <v>44426.400000000001</v>
      </c>
      <c r="K250" s="47">
        <f>K251+K254</f>
        <v>0</v>
      </c>
      <c r="M250" s="47">
        <f>M251+M254</f>
        <v>0</v>
      </c>
      <c r="O250" s="47">
        <f>O251+O254</f>
        <v>0</v>
      </c>
      <c r="P250" s="30"/>
      <c r="Q250" s="47">
        <f>Q251+Q254</f>
        <v>0</v>
      </c>
      <c r="S250" s="47">
        <f>S251+S254</f>
        <v>0</v>
      </c>
      <c r="V250" s="47">
        <f>V251+V254</f>
        <v>0</v>
      </c>
      <c r="X250" s="47">
        <f>X251+X254</f>
        <v>0</v>
      </c>
      <c r="Z250" s="47">
        <f>Z251+Z254</f>
        <v>0</v>
      </c>
      <c r="AA250" s="86">
        <v>0</v>
      </c>
      <c r="AB250" s="85">
        <v>0</v>
      </c>
    </row>
    <row r="251" spans="1:28" x14ac:dyDescent="0.25">
      <c r="A251" s="19" t="s">
        <v>272</v>
      </c>
      <c r="B251" s="40"/>
      <c r="C251" s="40" t="s">
        <v>56</v>
      </c>
      <c r="D251" s="40" t="s">
        <v>17</v>
      </c>
      <c r="E251" s="40" t="s">
        <v>276</v>
      </c>
      <c r="F251" s="40" t="s">
        <v>271</v>
      </c>
      <c r="G251" s="29">
        <f>G252+G253</f>
        <v>4560</v>
      </c>
      <c r="I251" s="47">
        <f>I252+I253</f>
        <v>4560</v>
      </c>
      <c r="K251" s="47">
        <f>K252+K253</f>
        <v>0</v>
      </c>
      <c r="M251" s="47">
        <f>M252+M253</f>
        <v>0</v>
      </c>
      <c r="O251" s="47">
        <f>O252+O253</f>
        <v>0</v>
      </c>
      <c r="P251" s="30"/>
      <c r="Q251" s="47">
        <f>Q252+Q253</f>
        <v>0</v>
      </c>
      <c r="S251" s="47">
        <f>S252+S253</f>
        <v>0</v>
      </c>
      <c r="V251" s="47">
        <f>V252+V253</f>
        <v>0</v>
      </c>
      <c r="X251" s="47">
        <f>X252+X253</f>
        <v>0</v>
      </c>
      <c r="Z251" s="47">
        <f>Z252+Z253</f>
        <v>0</v>
      </c>
      <c r="AA251" s="86">
        <v>0</v>
      </c>
      <c r="AB251" s="85">
        <v>0</v>
      </c>
    </row>
    <row r="252" spans="1:28" ht="30.75" customHeight="1" x14ac:dyDescent="0.25">
      <c r="A252" s="19" t="s">
        <v>263</v>
      </c>
      <c r="B252" s="40"/>
      <c r="C252" s="40" t="s">
        <v>56</v>
      </c>
      <c r="D252" s="40" t="s">
        <v>17</v>
      </c>
      <c r="E252" s="40" t="s">
        <v>276</v>
      </c>
      <c r="F252" s="40" t="s">
        <v>264</v>
      </c>
      <c r="G252" s="29">
        <v>4560</v>
      </c>
      <c r="I252" s="47">
        <f t="shared" ref="I252:K256" si="246">G252+H252</f>
        <v>4560</v>
      </c>
      <c r="J252" s="28">
        <v>-4560</v>
      </c>
      <c r="K252" s="47">
        <f t="shared" si="246"/>
        <v>0</v>
      </c>
      <c r="M252" s="47">
        <f t="shared" ref="M252:M253" si="247">K252+L252</f>
        <v>0</v>
      </c>
      <c r="O252" s="47">
        <f t="shared" ref="O252:O253" si="248">M252+N252</f>
        <v>0</v>
      </c>
      <c r="P252" s="30"/>
      <c r="Q252" s="47">
        <f t="shared" ref="Q252:Q253" si="249">O252+P252</f>
        <v>0</v>
      </c>
      <c r="S252" s="47">
        <f t="shared" ref="S252:S253" si="250">Q252+R252</f>
        <v>0</v>
      </c>
      <c r="V252" s="47">
        <f>S252+U252</f>
        <v>0</v>
      </c>
      <c r="X252" s="47">
        <f>V252+W252</f>
        <v>0</v>
      </c>
      <c r="Z252" s="47">
        <f>X252+Y252</f>
        <v>0</v>
      </c>
      <c r="AA252" s="86">
        <v>0</v>
      </c>
      <c r="AB252" s="85">
        <v>0</v>
      </c>
    </row>
    <row r="253" spans="1:28" x14ac:dyDescent="0.25">
      <c r="A253" s="19" t="s">
        <v>266</v>
      </c>
      <c r="B253" s="40"/>
      <c r="C253" s="40" t="s">
        <v>56</v>
      </c>
      <c r="D253" s="40" t="s">
        <v>17</v>
      </c>
      <c r="E253" s="40" t="s">
        <v>276</v>
      </c>
      <c r="F253" s="40" t="s">
        <v>265</v>
      </c>
      <c r="G253" s="29"/>
      <c r="I253" s="47">
        <f t="shared" si="246"/>
        <v>0</v>
      </c>
      <c r="K253" s="47">
        <f t="shared" si="246"/>
        <v>0</v>
      </c>
      <c r="M253" s="47">
        <f t="shared" si="247"/>
        <v>0</v>
      </c>
      <c r="O253" s="47">
        <f t="shared" si="248"/>
        <v>0</v>
      </c>
      <c r="P253" s="30"/>
      <c r="Q253" s="47">
        <f t="shared" si="249"/>
        <v>0</v>
      </c>
      <c r="S253" s="47">
        <f t="shared" si="250"/>
        <v>0</v>
      </c>
      <c r="V253" s="47">
        <f>S253+U253</f>
        <v>0</v>
      </c>
      <c r="X253" s="47">
        <f>V253+W253</f>
        <v>0</v>
      </c>
      <c r="Z253" s="47">
        <f>X253+Y253</f>
        <v>0</v>
      </c>
      <c r="AA253" s="86">
        <v>0</v>
      </c>
      <c r="AB253" s="85">
        <v>0</v>
      </c>
    </row>
    <row r="254" spans="1:28" x14ac:dyDescent="0.25">
      <c r="A254" s="19" t="s">
        <v>273</v>
      </c>
      <c r="B254" s="40"/>
      <c r="C254" s="40" t="s">
        <v>56</v>
      </c>
      <c r="D254" s="40" t="s">
        <v>17</v>
      </c>
      <c r="E254" s="40" t="s">
        <v>276</v>
      </c>
      <c r="F254" s="40" t="s">
        <v>275</v>
      </c>
      <c r="G254" s="29">
        <f>G255+G256</f>
        <v>39866.400000000001</v>
      </c>
      <c r="I254" s="47">
        <f>I255+I256</f>
        <v>39866.400000000001</v>
      </c>
      <c r="K254" s="47">
        <f>K255+K256</f>
        <v>0</v>
      </c>
      <c r="M254" s="47">
        <f>M255+M256</f>
        <v>0</v>
      </c>
      <c r="O254" s="47">
        <f>O255+O256</f>
        <v>0</v>
      </c>
      <c r="P254" s="30"/>
      <c r="Q254" s="47">
        <f>Q255+Q256</f>
        <v>0</v>
      </c>
      <c r="S254" s="47">
        <f>S255+S256</f>
        <v>0</v>
      </c>
      <c r="V254" s="47">
        <f>V255+V256</f>
        <v>0</v>
      </c>
      <c r="X254" s="47">
        <f>X255+X256</f>
        <v>0</v>
      </c>
      <c r="Z254" s="47">
        <f>Z255+Z256</f>
        <v>0</v>
      </c>
      <c r="AA254" s="86">
        <v>0</v>
      </c>
      <c r="AB254" s="85">
        <v>0</v>
      </c>
    </row>
    <row r="255" spans="1:28" ht="32.25" customHeight="1" x14ac:dyDescent="0.25">
      <c r="A255" s="19" t="s">
        <v>267</v>
      </c>
      <c r="B255" s="40"/>
      <c r="C255" s="40" t="s">
        <v>56</v>
      </c>
      <c r="D255" s="40" t="s">
        <v>17</v>
      </c>
      <c r="E255" s="40" t="s">
        <v>276</v>
      </c>
      <c r="F255" s="40" t="s">
        <v>268</v>
      </c>
      <c r="G255" s="29">
        <f>42006.4-2140</f>
        <v>39866.400000000001</v>
      </c>
      <c r="I255" s="47">
        <f t="shared" si="246"/>
        <v>39866.400000000001</v>
      </c>
      <c r="J255" s="28">
        <v>-39866.400000000001</v>
      </c>
      <c r="K255" s="47">
        <f t="shared" si="246"/>
        <v>0</v>
      </c>
      <c r="M255" s="47">
        <f t="shared" ref="M255:M256" si="251">K255+L255</f>
        <v>0</v>
      </c>
      <c r="O255" s="47">
        <f t="shared" ref="O255:O256" si="252">M255+N255</f>
        <v>0</v>
      </c>
      <c r="P255" s="30"/>
      <c r="Q255" s="47">
        <f t="shared" ref="Q255:Q256" si="253">O255+P255</f>
        <v>0</v>
      </c>
      <c r="S255" s="47">
        <f t="shared" ref="S255:S256" si="254">Q255+R255</f>
        <v>0</v>
      </c>
      <c r="V255" s="47">
        <f>S255+U255</f>
        <v>0</v>
      </c>
      <c r="X255" s="47">
        <f>V255+W255</f>
        <v>0</v>
      </c>
      <c r="Z255" s="47">
        <f>X255+Y255</f>
        <v>0</v>
      </c>
      <c r="AA255" s="86">
        <v>0</v>
      </c>
      <c r="AB255" s="85">
        <v>0</v>
      </c>
    </row>
    <row r="256" spans="1:28" x14ac:dyDescent="0.25">
      <c r="A256" s="19" t="s">
        <v>270</v>
      </c>
      <c r="B256" s="40"/>
      <c r="C256" s="40" t="s">
        <v>56</v>
      </c>
      <c r="D256" s="40" t="s">
        <v>17</v>
      </c>
      <c r="E256" s="40" t="s">
        <v>276</v>
      </c>
      <c r="F256" s="40" t="s">
        <v>269</v>
      </c>
      <c r="G256" s="29"/>
      <c r="I256" s="47">
        <f t="shared" si="246"/>
        <v>0</v>
      </c>
      <c r="K256" s="47">
        <f t="shared" si="246"/>
        <v>0</v>
      </c>
      <c r="M256" s="47">
        <f t="shared" si="251"/>
        <v>0</v>
      </c>
      <c r="O256" s="47">
        <f t="shared" si="252"/>
        <v>0</v>
      </c>
      <c r="P256" s="30"/>
      <c r="Q256" s="47">
        <f t="shared" si="253"/>
        <v>0</v>
      </c>
      <c r="S256" s="47">
        <f t="shared" si="254"/>
        <v>0</v>
      </c>
      <c r="V256" s="47">
        <f>S256+U256</f>
        <v>0</v>
      </c>
      <c r="X256" s="47">
        <f>V256+W256</f>
        <v>0</v>
      </c>
      <c r="Z256" s="47">
        <f>X256+Y256</f>
        <v>0</v>
      </c>
      <c r="AA256" s="86">
        <v>0</v>
      </c>
      <c r="AB256" s="85">
        <v>0</v>
      </c>
    </row>
    <row r="257" spans="1:28" x14ac:dyDescent="0.25">
      <c r="A257" s="19" t="s">
        <v>681</v>
      </c>
      <c r="B257" s="40"/>
      <c r="C257" s="40" t="s">
        <v>56</v>
      </c>
      <c r="D257" s="40" t="s">
        <v>17</v>
      </c>
      <c r="E257" s="40" t="s">
        <v>643</v>
      </c>
      <c r="F257" s="40"/>
      <c r="G257" s="29"/>
      <c r="I257" s="47"/>
      <c r="K257" s="47"/>
      <c r="M257" s="47"/>
      <c r="O257" s="47"/>
      <c r="P257" s="30"/>
      <c r="Q257" s="47"/>
      <c r="S257" s="47"/>
      <c r="V257" s="47"/>
      <c r="X257" s="47">
        <f>X258</f>
        <v>69.790000000000006</v>
      </c>
      <c r="Z257" s="47">
        <f>Z258</f>
        <v>69.790000000000006</v>
      </c>
      <c r="AA257" s="47">
        <f>AA258</f>
        <v>69.790000000000006</v>
      </c>
      <c r="AB257" s="85">
        <f t="shared" si="205"/>
        <v>1</v>
      </c>
    </row>
    <row r="258" spans="1:28" x14ac:dyDescent="0.25">
      <c r="A258" s="19" t="s">
        <v>270</v>
      </c>
      <c r="B258" s="40"/>
      <c r="C258" s="40" t="s">
        <v>56</v>
      </c>
      <c r="D258" s="40" t="s">
        <v>17</v>
      </c>
      <c r="E258" s="40" t="s">
        <v>643</v>
      </c>
      <c r="F258" s="40" t="s">
        <v>269</v>
      </c>
      <c r="G258" s="29"/>
      <c r="I258" s="47"/>
      <c r="K258" s="47"/>
      <c r="M258" s="47"/>
      <c r="O258" s="47"/>
      <c r="P258" s="30"/>
      <c r="Q258" s="47"/>
      <c r="S258" s="47"/>
      <c r="V258" s="47"/>
      <c r="W258" s="30">
        <v>69.790000000000006</v>
      </c>
      <c r="X258" s="47">
        <f>V258+W258</f>
        <v>69.790000000000006</v>
      </c>
      <c r="Z258" s="47">
        <f>X258+Y258</f>
        <v>69.790000000000006</v>
      </c>
      <c r="AA258" s="86">
        <v>69.790000000000006</v>
      </c>
      <c r="AB258" s="85">
        <f t="shared" si="205"/>
        <v>1</v>
      </c>
    </row>
    <row r="259" spans="1:28" x14ac:dyDescent="0.25">
      <c r="A259" s="19" t="s">
        <v>81</v>
      </c>
      <c r="B259" s="40"/>
      <c r="C259" s="40" t="s">
        <v>56</v>
      </c>
      <c r="D259" s="40" t="s">
        <v>17</v>
      </c>
      <c r="E259" s="40" t="s">
        <v>277</v>
      </c>
      <c r="F259" s="40"/>
      <c r="G259" s="29">
        <f>G260</f>
        <v>24070.1</v>
      </c>
      <c r="I259" s="47">
        <f>I260</f>
        <v>25260.899999999998</v>
      </c>
      <c r="K259" s="47">
        <f>K260</f>
        <v>25260.899999999998</v>
      </c>
      <c r="M259" s="47">
        <f>M260</f>
        <v>25614</v>
      </c>
      <c r="O259" s="47">
        <f>O260</f>
        <v>25607.949999999997</v>
      </c>
      <c r="P259" s="30"/>
      <c r="Q259" s="47">
        <f>Q260</f>
        <v>25607.949999999997</v>
      </c>
      <c r="S259" s="47">
        <f>S260</f>
        <v>25607.949999999997</v>
      </c>
      <c r="V259" s="47">
        <f>V260</f>
        <v>25607.949999999997</v>
      </c>
      <c r="X259" s="47">
        <f>X260</f>
        <v>25704.77</v>
      </c>
      <c r="Z259" s="47">
        <f>Z260</f>
        <v>25704.77</v>
      </c>
      <c r="AA259" s="47">
        <f>AA260</f>
        <v>25700.61</v>
      </c>
      <c r="AB259" s="85">
        <f t="shared" si="205"/>
        <v>0.99983816233329459</v>
      </c>
    </row>
    <row r="260" spans="1:28" x14ac:dyDescent="0.25">
      <c r="A260" s="19" t="s">
        <v>272</v>
      </c>
      <c r="B260" s="40"/>
      <c r="C260" s="40" t="s">
        <v>56</v>
      </c>
      <c r="D260" s="40" t="s">
        <v>17</v>
      </c>
      <c r="E260" s="40" t="s">
        <v>277</v>
      </c>
      <c r="F260" s="40" t="s">
        <v>271</v>
      </c>
      <c r="G260" s="29">
        <f>G261+G262</f>
        <v>24070.1</v>
      </c>
      <c r="I260" s="47">
        <f>I261+I262</f>
        <v>25260.899999999998</v>
      </c>
      <c r="K260" s="47">
        <f>K261+K262</f>
        <v>25260.899999999998</v>
      </c>
      <c r="M260" s="47">
        <f>M261+M262</f>
        <v>25614</v>
      </c>
      <c r="O260" s="47">
        <f>O261+O262</f>
        <v>25607.949999999997</v>
      </c>
      <c r="P260" s="30"/>
      <c r="Q260" s="47">
        <f>Q261+Q262</f>
        <v>25607.949999999997</v>
      </c>
      <c r="S260" s="47">
        <f>S261+S262</f>
        <v>25607.949999999997</v>
      </c>
      <c r="V260" s="47">
        <f>V261+V262</f>
        <v>25607.949999999997</v>
      </c>
      <c r="X260" s="47">
        <f>X261+X262</f>
        <v>25704.77</v>
      </c>
      <c r="Z260" s="47">
        <f>Z261+Z262</f>
        <v>25704.77</v>
      </c>
      <c r="AA260" s="47">
        <f>AA261+AA262</f>
        <v>25700.61</v>
      </c>
      <c r="AB260" s="85">
        <f t="shared" si="205"/>
        <v>0.99983816233329459</v>
      </c>
    </row>
    <row r="261" spans="1:28" ht="30.75" customHeight="1" x14ac:dyDescent="0.25">
      <c r="A261" s="19" t="s">
        <v>263</v>
      </c>
      <c r="B261" s="40"/>
      <c r="C261" s="40" t="s">
        <v>56</v>
      </c>
      <c r="D261" s="40" t="s">
        <v>17</v>
      </c>
      <c r="E261" s="40" t="s">
        <v>277</v>
      </c>
      <c r="F261" s="40" t="s">
        <v>264</v>
      </c>
      <c r="G261" s="29">
        <v>23657</v>
      </c>
      <c r="H261" s="52">
        <f>13.3+518.1+270.7+388.7</f>
        <v>1190.8</v>
      </c>
      <c r="I261" s="47">
        <f t="shared" ref="I261:K284" si="255">G261+H261</f>
        <v>24847.8</v>
      </c>
      <c r="J261" s="28">
        <v>-1177.5</v>
      </c>
      <c r="K261" s="47">
        <f t="shared" si="255"/>
        <v>23670.3</v>
      </c>
      <c r="M261" s="47">
        <f t="shared" ref="M261:M262" si="256">K261+L261</f>
        <v>23670.3</v>
      </c>
      <c r="O261" s="47">
        <f t="shared" ref="O261:O262" si="257">M261+N261</f>
        <v>23670.3</v>
      </c>
      <c r="P261" s="30"/>
      <c r="Q261" s="47">
        <f t="shared" ref="Q261:Q262" si="258">O261+P261</f>
        <v>23670.3</v>
      </c>
      <c r="S261" s="47">
        <f t="shared" ref="S261:S262" si="259">Q261+R261</f>
        <v>23670.3</v>
      </c>
      <c r="V261" s="47">
        <f>S261+U261</f>
        <v>23670.3</v>
      </c>
      <c r="X261" s="47">
        <f>V261+W261</f>
        <v>23670.3</v>
      </c>
      <c r="Z261" s="47">
        <f>X261+Y261</f>
        <v>23670.3</v>
      </c>
      <c r="AA261" s="86">
        <v>23669.97</v>
      </c>
      <c r="AB261" s="85">
        <f t="shared" si="205"/>
        <v>0.99998605847834632</v>
      </c>
    </row>
    <row r="262" spans="1:28" x14ac:dyDescent="0.25">
      <c r="A262" s="19" t="s">
        <v>266</v>
      </c>
      <c r="B262" s="40"/>
      <c r="C262" s="40" t="s">
        <v>56</v>
      </c>
      <c r="D262" s="40" t="s">
        <v>17</v>
      </c>
      <c r="E262" s="40" t="s">
        <v>277</v>
      </c>
      <c r="F262" s="40" t="s">
        <v>265</v>
      </c>
      <c r="G262" s="29">
        <v>413.1</v>
      </c>
      <c r="I262" s="47">
        <f t="shared" si="255"/>
        <v>413.1</v>
      </c>
      <c r="J262" s="28">
        <v>1177.5</v>
      </c>
      <c r="K262" s="47">
        <f t="shared" si="255"/>
        <v>1590.6</v>
      </c>
      <c r="L262" s="30">
        <v>353.1</v>
      </c>
      <c r="M262" s="47">
        <f t="shared" si="256"/>
        <v>1943.6999999999998</v>
      </c>
      <c r="N262" s="30">
        <f>-413.1+65.15+170.95+170.95</f>
        <v>-6.0500000000000682</v>
      </c>
      <c r="O262" s="47">
        <f t="shared" si="257"/>
        <v>1937.6499999999996</v>
      </c>
      <c r="P262" s="30"/>
      <c r="Q262" s="47">
        <f t="shared" si="258"/>
        <v>1937.6499999999996</v>
      </c>
      <c r="S262" s="47">
        <f t="shared" si="259"/>
        <v>1937.6499999999996</v>
      </c>
      <c r="V262" s="47">
        <f>S262+U262</f>
        <v>1937.6499999999996</v>
      </c>
      <c r="W262" s="30">
        <v>96.82</v>
      </c>
      <c r="X262" s="47">
        <f>V262+W262</f>
        <v>2034.4699999999996</v>
      </c>
      <c r="Z262" s="47">
        <f>X262+Y262</f>
        <v>2034.4699999999996</v>
      </c>
      <c r="AA262" s="86">
        <v>2030.64</v>
      </c>
      <c r="AB262" s="85">
        <f t="shared" si="205"/>
        <v>0.99811744582127071</v>
      </c>
    </row>
    <row r="263" spans="1:28" ht="14.25" customHeight="1" x14ac:dyDescent="0.25">
      <c r="A263" s="19" t="s">
        <v>408</v>
      </c>
      <c r="B263" s="40"/>
      <c r="C263" s="40" t="s">
        <v>56</v>
      </c>
      <c r="D263" s="40" t="s">
        <v>17</v>
      </c>
      <c r="E263" s="40" t="s">
        <v>407</v>
      </c>
      <c r="F263" s="40"/>
      <c r="G263" s="29"/>
      <c r="I263" s="47"/>
      <c r="K263" s="47">
        <f>K264</f>
        <v>223</v>
      </c>
      <c r="M263" s="47">
        <f>M264</f>
        <v>223</v>
      </c>
      <c r="O263" s="47">
        <f>O264</f>
        <v>223</v>
      </c>
      <c r="P263" s="30"/>
      <c r="Q263" s="47">
        <f>Q264</f>
        <v>223</v>
      </c>
      <c r="S263" s="47">
        <f>S264</f>
        <v>223</v>
      </c>
      <c r="V263" s="47">
        <f>V264</f>
        <v>223</v>
      </c>
      <c r="X263" s="47">
        <f>X264</f>
        <v>223</v>
      </c>
      <c r="Z263" s="47">
        <f>Z264</f>
        <v>223</v>
      </c>
      <c r="AA263" s="47">
        <f>AA264</f>
        <v>223</v>
      </c>
      <c r="AB263" s="85">
        <f t="shared" si="205"/>
        <v>1</v>
      </c>
    </row>
    <row r="264" spans="1:28" x14ac:dyDescent="0.25">
      <c r="A264" s="19" t="s">
        <v>270</v>
      </c>
      <c r="B264" s="40"/>
      <c r="C264" s="40" t="s">
        <v>56</v>
      </c>
      <c r="D264" s="40" t="s">
        <v>17</v>
      </c>
      <c r="E264" s="40" t="s">
        <v>407</v>
      </c>
      <c r="F264" s="40" t="s">
        <v>269</v>
      </c>
      <c r="G264" s="29"/>
      <c r="I264" s="47"/>
      <c r="J264" s="28">
        <v>223</v>
      </c>
      <c r="K264" s="47">
        <f t="shared" si="255"/>
        <v>223</v>
      </c>
      <c r="M264" s="47">
        <f t="shared" ref="M264:M270" si="260">K264+L264</f>
        <v>223</v>
      </c>
      <c r="O264" s="47">
        <f t="shared" ref="O264" si="261">M264+N264</f>
        <v>223</v>
      </c>
      <c r="P264" s="30"/>
      <c r="Q264" s="47">
        <f t="shared" ref="Q264" si="262">O264+P264</f>
        <v>223</v>
      </c>
      <c r="S264" s="47">
        <f t="shared" ref="S264" si="263">Q264+R264</f>
        <v>223</v>
      </c>
      <c r="V264" s="47">
        <f>S264+U264</f>
        <v>223</v>
      </c>
      <c r="X264" s="47">
        <f>V264+W264</f>
        <v>223</v>
      </c>
      <c r="Z264" s="47">
        <f>X264+Y264</f>
        <v>223</v>
      </c>
      <c r="AA264" s="86">
        <v>223</v>
      </c>
      <c r="AB264" s="85">
        <f t="shared" si="205"/>
        <v>1</v>
      </c>
    </row>
    <row r="265" spans="1:28" x14ac:dyDescent="0.25">
      <c r="A265" s="19" t="s">
        <v>456</v>
      </c>
      <c r="B265" s="40"/>
      <c r="C265" s="40" t="s">
        <v>56</v>
      </c>
      <c r="D265" s="40" t="s">
        <v>17</v>
      </c>
      <c r="E265" s="40" t="s">
        <v>455</v>
      </c>
      <c r="F265" s="40"/>
      <c r="G265" s="29"/>
      <c r="I265" s="47"/>
      <c r="K265" s="47"/>
      <c r="M265" s="47">
        <f>M266+M267</f>
        <v>5433</v>
      </c>
      <c r="O265" s="47">
        <f>O266+O267</f>
        <v>5433</v>
      </c>
      <c r="P265" s="30"/>
      <c r="Q265" s="47">
        <f>Q266+Q267</f>
        <v>5433</v>
      </c>
      <c r="S265" s="47">
        <f>S266+S267</f>
        <v>5433</v>
      </c>
      <c r="V265" s="47">
        <f>V266+V267</f>
        <v>5433</v>
      </c>
      <c r="X265" s="47">
        <f>X266+X267</f>
        <v>5433</v>
      </c>
      <c r="Z265" s="47">
        <f>Z266+Z267</f>
        <v>5433</v>
      </c>
      <c r="AA265" s="47">
        <f>AA266+AA267</f>
        <v>5433</v>
      </c>
      <c r="AB265" s="85">
        <f t="shared" si="205"/>
        <v>1</v>
      </c>
    </row>
    <row r="266" spans="1:28" x14ac:dyDescent="0.25">
      <c r="A266" s="19" t="s">
        <v>266</v>
      </c>
      <c r="B266" s="40"/>
      <c r="C266" s="40" t="s">
        <v>56</v>
      </c>
      <c r="D266" s="40" t="s">
        <v>17</v>
      </c>
      <c r="E266" s="40" t="s">
        <v>455</v>
      </c>
      <c r="F266" s="40" t="s">
        <v>265</v>
      </c>
      <c r="G266" s="29"/>
      <c r="I266" s="47"/>
      <c r="K266" s="47"/>
      <c r="L266" s="30">
        <v>768.38</v>
      </c>
      <c r="M266" s="47">
        <f t="shared" si="260"/>
        <v>768.38</v>
      </c>
      <c r="O266" s="47">
        <f t="shared" ref="O266:O267" si="264">M266+N266</f>
        <v>768.38</v>
      </c>
      <c r="P266" s="30"/>
      <c r="Q266" s="47">
        <f t="shared" ref="Q266:Q267" si="265">O266+P266</f>
        <v>768.38</v>
      </c>
      <c r="S266" s="47">
        <f t="shared" ref="S266:S267" si="266">Q266+R266</f>
        <v>768.38</v>
      </c>
      <c r="V266" s="47">
        <f>S266+U266</f>
        <v>768.38</v>
      </c>
      <c r="X266" s="47">
        <f>V266+W266</f>
        <v>768.38</v>
      </c>
      <c r="Z266" s="47">
        <f>X266+Y266</f>
        <v>768.38</v>
      </c>
      <c r="AA266" s="86">
        <v>768.38</v>
      </c>
      <c r="AB266" s="85">
        <f t="shared" si="205"/>
        <v>1</v>
      </c>
    </row>
    <row r="267" spans="1:28" x14ac:dyDescent="0.25">
      <c r="A267" s="19" t="s">
        <v>270</v>
      </c>
      <c r="B267" s="40"/>
      <c r="C267" s="40" t="s">
        <v>56</v>
      </c>
      <c r="D267" s="40" t="s">
        <v>17</v>
      </c>
      <c r="E267" s="40" t="s">
        <v>455</v>
      </c>
      <c r="F267" s="40" t="s">
        <v>269</v>
      </c>
      <c r="G267" s="29"/>
      <c r="I267" s="47"/>
      <c r="K267" s="47"/>
      <c r="L267" s="30">
        <v>4664.62</v>
      </c>
      <c r="M267" s="47">
        <f t="shared" si="260"/>
        <v>4664.62</v>
      </c>
      <c r="O267" s="47">
        <f t="shared" si="264"/>
        <v>4664.62</v>
      </c>
      <c r="P267" s="30"/>
      <c r="Q267" s="47">
        <f t="shared" si="265"/>
        <v>4664.62</v>
      </c>
      <c r="S267" s="47">
        <f t="shared" si="266"/>
        <v>4664.62</v>
      </c>
      <c r="V267" s="47">
        <f>S267+U267</f>
        <v>4664.62</v>
      </c>
      <c r="X267" s="47">
        <f>V267+W267</f>
        <v>4664.62</v>
      </c>
      <c r="Z267" s="47">
        <f>X267+Y267</f>
        <v>4664.62</v>
      </c>
      <c r="AA267" s="86">
        <v>4664.62</v>
      </c>
      <c r="AB267" s="85">
        <f t="shared" si="205"/>
        <v>1</v>
      </c>
    </row>
    <row r="268" spans="1:28" ht="30" customHeight="1" x14ac:dyDescent="0.25">
      <c r="A268" s="19" t="s">
        <v>458</v>
      </c>
      <c r="B268" s="40"/>
      <c r="C268" s="40" t="s">
        <v>56</v>
      </c>
      <c r="D268" s="40" t="s">
        <v>17</v>
      </c>
      <c r="E268" s="40" t="s">
        <v>457</v>
      </c>
      <c r="F268" s="40"/>
      <c r="G268" s="29"/>
      <c r="I268" s="47"/>
      <c r="K268" s="47"/>
      <c r="M268" s="47">
        <f>M269+M270</f>
        <v>2303.65</v>
      </c>
      <c r="O268" s="47">
        <f>O269+O270</f>
        <v>2303.65</v>
      </c>
      <c r="P268" s="30"/>
      <c r="Q268" s="47">
        <f>Q269+Q270</f>
        <v>2303.65</v>
      </c>
      <c r="S268" s="47">
        <f>S269+S270</f>
        <v>2303.65</v>
      </c>
      <c r="V268" s="47">
        <f>V269+V270</f>
        <v>2303.65</v>
      </c>
      <c r="X268" s="47">
        <f>X269+X270</f>
        <v>2303.65</v>
      </c>
      <c r="Z268" s="47">
        <f>Z269+Z270</f>
        <v>2303.65</v>
      </c>
      <c r="AA268" s="47">
        <f>AA269+AA270</f>
        <v>2303.65</v>
      </c>
      <c r="AB268" s="85">
        <f t="shared" si="205"/>
        <v>1</v>
      </c>
    </row>
    <row r="269" spans="1:28" x14ac:dyDescent="0.25">
      <c r="A269" s="19" t="s">
        <v>266</v>
      </c>
      <c r="B269" s="40"/>
      <c r="C269" s="40" t="s">
        <v>56</v>
      </c>
      <c r="D269" s="40" t="s">
        <v>17</v>
      </c>
      <c r="E269" s="40" t="s">
        <v>457</v>
      </c>
      <c r="F269" s="40" t="s">
        <v>265</v>
      </c>
      <c r="G269" s="29"/>
      <c r="I269" s="47"/>
      <c r="K269" s="47"/>
      <c r="L269" s="30">
        <v>1164.01</v>
      </c>
      <c r="M269" s="47">
        <f t="shared" si="260"/>
        <v>1164.01</v>
      </c>
      <c r="O269" s="47">
        <f t="shared" ref="O269:O270" si="267">M269+N269</f>
        <v>1164.01</v>
      </c>
      <c r="P269" s="30"/>
      <c r="Q269" s="47">
        <f t="shared" ref="Q269:Q270" si="268">O269+P269</f>
        <v>1164.01</v>
      </c>
      <c r="S269" s="47">
        <f t="shared" ref="S269:S270" si="269">Q269+R269</f>
        <v>1164.01</v>
      </c>
      <c r="V269" s="47">
        <f>S269+U269</f>
        <v>1164.01</v>
      </c>
      <c r="X269" s="47">
        <f>V269+W269</f>
        <v>1164.01</v>
      </c>
      <c r="Z269" s="47">
        <f>X269+Y269</f>
        <v>1164.01</v>
      </c>
      <c r="AA269" s="86">
        <v>1164.01</v>
      </c>
      <c r="AB269" s="85">
        <f t="shared" ref="AB269:AB332" si="270">AA269/Z269</f>
        <v>1</v>
      </c>
    </row>
    <row r="270" spans="1:28" x14ac:dyDescent="0.25">
      <c r="A270" s="19" t="s">
        <v>270</v>
      </c>
      <c r="B270" s="40"/>
      <c r="C270" s="40" t="s">
        <v>56</v>
      </c>
      <c r="D270" s="40" t="s">
        <v>17</v>
      </c>
      <c r="E270" s="40" t="s">
        <v>457</v>
      </c>
      <c r="F270" s="40" t="s">
        <v>269</v>
      </c>
      <c r="G270" s="29"/>
      <c r="I270" s="47"/>
      <c r="K270" s="47"/>
      <c r="L270" s="30">
        <v>1139.6400000000001</v>
      </c>
      <c r="M270" s="47">
        <f t="shared" si="260"/>
        <v>1139.6400000000001</v>
      </c>
      <c r="O270" s="47">
        <f t="shared" si="267"/>
        <v>1139.6400000000001</v>
      </c>
      <c r="P270" s="30"/>
      <c r="Q270" s="47">
        <f t="shared" si="268"/>
        <v>1139.6400000000001</v>
      </c>
      <c r="S270" s="47">
        <f t="shared" si="269"/>
        <v>1139.6400000000001</v>
      </c>
      <c r="V270" s="47">
        <f>S270+U270</f>
        <v>1139.6400000000001</v>
      </c>
      <c r="X270" s="47">
        <f>V270+W270</f>
        <v>1139.6400000000001</v>
      </c>
      <c r="Z270" s="47">
        <f>X270+Y270</f>
        <v>1139.6400000000001</v>
      </c>
      <c r="AA270" s="86">
        <v>1139.6400000000001</v>
      </c>
      <c r="AB270" s="85">
        <f t="shared" si="270"/>
        <v>1</v>
      </c>
    </row>
    <row r="271" spans="1:28" x14ac:dyDescent="0.25">
      <c r="A271" s="19" t="s">
        <v>412</v>
      </c>
      <c r="B271" s="40"/>
      <c r="C271" s="40" t="s">
        <v>56</v>
      </c>
      <c r="D271" s="40" t="s">
        <v>17</v>
      </c>
      <c r="E271" s="40" t="s">
        <v>411</v>
      </c>
      <c r="F271" s="40"/>
      <c r="G271" s="29"/>
      <c r="I271" s="47"/>
      <c r="K271" s="47">
        <f>K272+K273</f>
        <v>867.19999999999993</v>
      </c>
      <c r="M271" s="47">
        <f>M272+M273</f>
        <v>867.19999999999993</v>
      </c>
      <c r="O271" s="47">
        <f>O272+O273</f>
        <v>867.19999999999993</v>
      </c>
      <c r="P271" s="30"/>
      <c r="Q271" s="47">
        <f>Q272+Q273</f>
        <v>867.19999999999993</v>
      </c>
      <c r="S271" s="47">
        <f>S272+S273</f>
        <v>867.19999999999993</v>
      </c>
      <c r="V271" s="47">
        <f>V272+V273</f>
        <v>867.19999999999993</v>
      </c>
      <c r="X271" s="47">
        <f>X272+X273</f>
        <v>867.19999999999993</v>
      </c>
      <c r="Z271" s="47">
        <f>Z272+Z273</f>
        <v>867.19999999999993</v>
      </c>
      <c r="AA271" s="47">
        <f>AA272+AA273</f>
        <v>842.4</v>
      </c>
      <c r="AB271" s="85">
        <f t="shared" si="270"/>
        <v>0.97140221402214022</v>
      </c>
    </row>
    <row r="272" spans="1:28" x14ac:dyDescent="0.25">
      <c r="A272" s="19" t="s">
        <v>266</v>
      </c>
      <c r="B272" s="40"/>
      <c r="C272" s="40" t="s">
        <v>56</v>
      </c>
      <c r="D272" s="40" t="s">
        <v>17</v>
      </c>
      <c r="E272" s="40" t="s">
        <v>411</v>
      </c>
      <c r="F272" s="40" t="s">
        <v>265</v>
      </c>
      <c r="G272" s="29"/>
      <c r="I272" s="47"/>
      <c r="J272" s="28">
        <v>116.4</v>
      </c>
      <c r="K272" s="47">
        <f t="shared" si="255"/>
        <v>116.4</v>
      </c>
      <c r="M272" s="47">
        <f t="shared" ref="M272:M273" si="271">K272+L272</f>
        <v>116.4</v>
      </c>
      <c r="O272" s="47">
        <f t="shared" ref="O272:O277" si="272">M272+N272</f>
        <v>116.4</v>
      </c>
      <c r="P272" s="30"/>
      <c r="Q272" s="47">
        <f t="shared" ref="Q272:Q273" si="273">O272+P272</f>
        <v>116.4</v>
      </c>
      <c r="S272" s="47">
        <f t="shared" ref="S272:S273" si="274">Q272+R272</f>
        <v>116.4</v>
      </c>
      <c r="V272" s="47">
        <f>S272+U272</f>
        <v>116.4</v>
      </c>
      <c r="X272" s="47">
        <f>V272+W272</f>
        <v>116.4</v>
      </c>
      <c r="Z272" s="47">
        <f>X272+Y272</f>
        <v>116.4</v>
      </c>
      <c r="AA272" s="86">
        <v>111.9</v>
      </c>
      <c r="AB272" s="85">
        <f t="shared" si="270"/>
        <v>0.96134020618556704</v>
      </c>
    </row>
    <row r="273" spans="1:28" x14ac:dyDescent="0.25">
      <c r="A273" s="19" t="s">
        <v>270</v>
      </c>
      <c r="B273" s="40"/>
      <c r="C273" s="40" t="s">
        <v>56</v>
      </c>
      <c r="D273" s="40" t="s">
        <v>17</v>
      </c>
      <c r="E273" s="40" t="s">
        <v>411</v>
      </c>
      <c r="F273" s="40" t="s">
        <v>269</v>
      </c>
      <c r="G273" s="29"/>
      <c r="I273" s="47"/>
      <c r="J273" s="28">
        <v>750.8</v>
      </c>
      <c r="K273" s="47">
        <f t="shared" si="255"/>
        <v>750.8</v>
      </c>
      <c r="M273" s="47">
        <f t="shared" si="271"/>
        <v>750.8</v>
      </c>
      <c r="O273" s="47">
        <f t="shared" si="272"/>
        <v>750.8</v>
      </c>
      <c r="P273" s="30"/>
      <c r="Q273" s="47">
        <f t="shared" si="273"/>
        <v>750.8</v>
      </c>
      <c r="S273" s="47">
        <f t="shared" si="274"/>
        <v>750.8</v>
      </c>
      <c r="V273" s="47">
        <f>S273+U273</f>
        <v>750.8</v>
      </c>
      <c r="X273" s="47">
        <f>V273+W273</f>
        <v>750.8</v>
      </c>
      <c r="Z273" s="47">
        <f>X273+Y273</f>
        <v>750.8</v>
      </c>
      <c r="AA273" s="86">
        <v>730.5</v>
      </c>
      <c r="AB273" s="85">
        <f t="shared" si="270"/>
        <v>0.97296217368140658</v>
      </c>
    </row>
    <row r="274" spans="1:28" x14ac:dyDescent="0.25">
      <c r="A274" s="19" t="s">
        <v>412</v>
      </c>
      <c r="B274" s="40"/>
      <c r="C274" s="40" t="s">
        <v>56</v>
      </c>
      <c r="D274" s="40" t="s">
        <v>17</v>
      </c>
      <c r="E274" s="40" t="s">
        <v>644</v>
      </c>
      <c r="F274" s="40"/>
      <c r="G274" s="29"/>
      <c r="I274" s="47"/>
      <c r="K274" s="47"/>
      <c r="M274" s="47"/>
      <c r="O274" s="47"/>
      <c r="P274" s="30"/>
      <c r="Q274" s="47"/>
      <c r="S274" s="47"/>
      <c r="V274" s="47"/>
      <c r="X274" s="47">
        <f>X275</f>
        <v>60</v>
      </c>
      <c r="Z274" s="47">
        <f>Z275</f>
        <v>60</v>
      </c>
      <c r="AA274" s="47">
        <f>AA275</f>
        <v>0</v>
      </c>
      <c r="AB274" s="85">
        <f t="shared" si="270"/>
        <v>0</v>
      </c>
    </row>
    <row r="275" spans="1:28" x14ac:dyDescent="0.25">
      <c r="A275" s="19" t="s">
        <v>266</v>
      </c>
      <c r="B275" s="40"/>
      <c r="C275" s="40" t="s">
        <v>56</v>
      </c>
      <c r="D275" s="40" t="s">
        <v>17</v>
      </c>
      <c r="E275" s="40" t="s">
        <v>644</v>
      </c>
      <c r="F275" s="40" t="s">
        <v>265</v>
      </c>
      <c r="G275" s="29"/>
      <c r="I275" s="47"/>
      <c r="K275" s="47"/>
      <c r="M275" s="47"/>
      <c r="O275" s="47"/>
      <c r="P275" s="30"/>
      <c r="Q275" s="47"/>
      <c r="S275" s="47"/>
      <c r="V275" s="47"/>
      <c r="W275" s="30">
        <v>60</v>
      </c>
      <c r="X275" s="47">
        <f>V275+W275</f>
        <v>60</v>
      </c>
      <c r="Z275" s="47">
        <f>X275+Y275</f>
        <v>60</v>
      </c>
      <c r="AA275" s="86">
        <v>0</v>
      </c>
      <c r="AB275" s="85">
        <f t="shared" si="270"/>
        <v>0</v>
      </c>
    </row>
    <row r="276" spans="1:28" ht="31.5" x14ac:dyDescent="0.25">
      <c r="A276" s="19" t="s">
        <v>526</v>
      </c>
      <c r="B276" s="40"/>
      <c r="C276" s="40" t="s">
        <v>56</v>
      </c>
      <c r="D276" s="40" t="s">
        <v>17</v>
      </c>
      <c r="E276" s="40" t="s">
        <v>525</v>
      </c>
      <c r="F276" s="40"/>
      <c r="G276" s="29"/>
      <c r="I276" s="47"/>
      <c r="K276" s="47"/>
      <c r="M276" s="47"/>
      <c r="O276" s="47">
        <f>O277</f>
        <v>110</v>
      </c>
      <c r="P276" s="30"/>
      <c r="Q276" s="47">
        <f>Q277</f>
        <v>110</v>
      </c>
      <c r="S276" s="47">
        <f>S277</f>
        <v>110</v>
      </c>
      <c r="V276" s="47">
        <f>V277</f>
        <v>110</v>
      </c>
      <c r="X276" s="47">
        <f>X277</f>
        <v>110</v>
      </c>
      <c r="Z276" s="47">
        <f>Z277</f>
        <v>110</v>
      </c>
      <c r="AA276" s="47">
        <f>AA277</f>
        <v>110</v>
      </c>
      <c r="AB276" s="85">
        <f t="shared" si="270"/>
        <v>1</v>
      </c>
    </row>
    <row r="277" spans="1:28" x14ac:dyDescent="0.25">
      <c r="A277" s="19" t="s">
        <v>270</v>
      </c>
      <c r="B277" s="40"/>
      <c r="C277" s="40" t="s">
        <v>56</v>
      </c>
      <c r="D277" s="40" t="s">
        <v>17</v>
      </c>
      <c r="E277" s="40" t="s">
        <v>525</v>
      </c>
      <c r="F277" s="40" t="s">
        <v>269</v>
      </c>
      <c r="G277" s="29"/>
      <c r="I277" s="47"/>
      <c r="K277" s="47"/>
      <c r="M277" s="47"/>
      <c r="N277" s="30">
        <v>110</v>
      </c>
      <c r="O277" s="47">
        <f t="shared" si="272"/>
        <v>110</v>
      </c>
      <c r="P277" s="30"/>
      <c r="Q277" s="47">
        <f t="shared" ref="Q277" si="275">O277+P277</f>
        <v>110</v>
      </c>
      <c r="S277" s="47">
        <f t="shared" ref="S277" si="276">Q277+R277</f>
        <v>110</v>
      </c>
      <c r="V277" s="47">
        <f>S277+U277</f>
        <v>110</v>
      </c>
      <c r="X277" s="47">
        <f>V277+W277</f>
        <v>110</v>
      </c>
      <c r="Z277" s="47">
        <f>X277+Y277</f>
        <v>110</v>
      </c>
      <c r="AA277" s="86">
        <v>110</v>
      </c>
      <c r="AB277" s="85">
        <f t="shared" si="270"/>
        <v>1</v>
      </c>
    </row>
    <row r="278" spans="1:28" ht="32.25" customHeight="1" x14ac:dyDescent="0.25">
      <c r="A278" s="19" t="s">
        <v>410</v>
      </c>
      <c r="B278" s="40"/>
      <c r="C278" s="40" t="s">
        <v>56</v>
      </c>
      <c r="D278" s="40" t="s">
        <v>17</v>
      </c>
      <c r="E278" s="40" t="s">
        <v>409</v>
      </c>
      <c r="F278" s="40"/>
      <c r="G278" s="29"/>
      <c r="I278" s="47"/>
      <c r="K278" s="47">
        <f>K279</f>
        <v>515.54999999999995</v>
      </c>
      <c r="M278" s="47">
        <f>M279</f>
        <v>515.54999999999995</v>
      </c>
      <c r="O278" s="47">
        <f>O279</f>
        <v>515.54999999999995</v>
      </c>
      <c r="P278" s="30"/>
      <c r="Q278" s="47">
        <f>Q279</f>
        <v>515.54999999999995</v>
      </c>
      <c r="S278" s="47">
        <f>S279</f>
        <v>515.54999999999995</v>
      </c>
      <c r="V278" s="47">
        <f>V279</f>
        <v>515.54999999999995</v>
      </c>
      <c r="X278" s="47">
        <f>X279</f>
        <v>515.54999999999995</v>
      </c>
      <c r="Z278" s="47">
        <f>Z279</f>
        <v>515.54999999999995</v>
      </c>
      <c r="AA278" s="47">
        <f>AA279</f>
        <v>515.54999999999995</v>
      </c>
      <c r="AB278" s="85">
        <f t="shared" si="270"/>
        <v>1</v>
      </c>
    </row>
    <row r="279" spans="1:28" ht="31.5" x14ac:dyDescent="0.25">
      <c r="A279" s="19" t="s">
        <v>263</v>
      </c>
      <c r="B279" s="40"/>
      <c r="C279" s="40" t="s">
        <v>56</v>
      </c>
      <c r="D279" s="40" t="s">
        <v>17</v>
      </c>
      <c r="E279" s="40" t="s">
        <v>409</v>
      </c>
      <c r="F279" s="40" t="s">
        <v>264</v>
      </c>
      <c r="G279" s="29"/>
      <c r="I279" s="47"/>
      <c r="J279" s="28">
        <v>515.54999999999995</v>
      </c>
      <c r="K279" s="47">
        <f t="shared" si="255"/>
        <v>515.54999999999995</v>
      </c>
      <c r="M279" s="47">
        <f t="shared" ref="M279" si="277">K279+L279</f>
        <v>515.54999999999995</v>
      </c>
      <c r="O279" s="47">
        <f t="shared" ref="O279" si="278">M279+N279</f>
        <v>515.54999999999995</v>
      </c>
      <c r="P279" s="30"/>
      <c r="Q279" s="47">
        <f t="shared" ref="Q279" si="279">O279+P279</f>
        <v>515.54999999999995</v>
      </c>
      <c r="S279" s="47">
        <f t="shared" ref="S279" si="280">Q279+R279</f>
        <v>515.54999999999995</v>
      </c>
      <c r="V279" s="47">
        <f>S279+U279</f>
        <v>515.54999999999995</v>
      </c>
      <c r="X279" s="47">
        <f>V279+W279</f>
        <v>515.54999999999995</v>
      </c>
      <c r="Z279" s="47">
        <f>X279+Y279</f>
        <v>515.54999999999995</v>
      </c>
      <c r="AA279" s="86">
        <v>515.54999999999995</v>
      </c>
      <c r="AB279" s="85">
        <f t="shared" si="270"/>
        <v>1</v>
      </c>
    </row>
    <row r="280" spans="1:28" ht="75" customHeight="1" x14ac:dyDescent="0.25">
      <c r="A280" s="19" t="s">
        <v>414</v>
      </c>
      <c r="B280" s="40"/>
      <c r="C280" s="40" t="s">
        <v>56</v>
      </c>
      <c r="D280" s="40" t="s">
        <v>17</v>
      </c>
      <c r="E280" s="40" t="s">
        <v>413</v>
      </c>
      <c r="F280" s="40"/>
      <c r="G280" s="29"/>
      <c r="I280" s="47"/>
      <c r="K280" s="47">
        <f>K281+K282</f>
        <v>44426.400000000001</v>
      </c>
      <c r="M280" s="47">
        <f>M281+M282</f>
        <v>44426.400000000001</v>
      </c>
      <c r="O280" s="47">
        <f>O281+O282</f>
        <v>44426.400000000001</v>
      </c>
      <c r="P280" s="30"/>
      <c r="Q280" s="47">
        <f>Q281+Q282</f>
        <v>44426.400000000001</v>
      </c>
      <c r="S280" s="47">
        <f>S281+S282</f>
        <v>44426.400000000001</v>
      </c>
      <c r="V280" s="47">
        <f>V281+V282</f>
        <v>44426.400000000001</v>
      </c>
      <c r="X280" s="47">
        <f>X281+X282</f>
        <v>44426.400000000001</v>
      </c>
      <c r="Z280" s="47">
        <f>Z281+Z282</f>
        <v>44538.000000000007</v>
      </c>
      <c r="AA280" s="47">
        <f>AA281+AA282</f>
        <v>44538</v>
      </c>
      <c r="AB280" s="85">
        <f t="shared" si="270"/>
        <v>0.99999999999999989</v>
      </c>
    </row>
    <row r="281" spans="1:28" ht="31.5" x14ac:dyDescent="0.25">
      <c r="A281" s="19" t="s">
        <v>263</v>
      </c>
      <c r="B281" s="40"/>
      <c r="C281" s="40" t="s">
        <v>56</v>
      </c>
      <c r="D281" s="40" t="s">
        <v>17</v>
      </c>
      <c r="E281" s="40" t="s">
        <v>413</v>
      </c>
      <c r="F281" s="40" t="s">
        <v>264</v>
      </c>
      <c r="G281" s="29"/>
      <c r="I281" s="47"/>
      <c r="J281" s="28">
        <v>4560</v>
      </c>
      <c r="K281" s="47">
        <f t="shared" si="255"/>
        <v>4560</v>
      </c>
      <c r="M281" s="47">
        <f t="shared" ref="M281:M282" si="281">K281+L281</f>
        <v>4560</v>
      </c>
      <c r="O281" s="47">
        <f t="shared" ref="O281:O282" si="282">M281+N281</f>
        <v>4560</v>
      </c>
      <c r="P281" s="30"/>
      <c r="Q281" s="47">
        <f t="shared" ref="Q281:Q282" si="283">O281+P281</f>
        <v>4560</v>
      </c>
      <c r="S281" s="47">
        <f t="shared" ref="S281:S282" si="284">Q281+R281</f>
        <v>4560</v>
      </c>
      <c r="V281" s="47">
        <f>S281+U281</f>
        <v>4560</v>
      </c>
      <c r="X281" s="47">
        <f>V281+W281</f>
        <v>4560</v>
      </c>
      <c r="Y281" s="30">
        <v>-327.2</v>
      </c>
      <c r="Z281" s="47">
        <f>X281+Y281</f>
        <v>4232.8</v>
      </c>
      <c r="AA281" s="86">
        <v>4232.8</v>
      </c>
      <c r="AB281" s="85">
        <f t="shared" si="270"/>
        <v>1</v>
      </c>
    </row>
    <row r="282" spans="1:28" ht="31.5" x14ac:dyDescent="0.25">
      <c r="A282" s="19" t="s">
        <v>267</v>
      </c>
      <c r="B282" s="40"/>
      <c r="C282" s="40" t="s">
        <v>56</v>
      </c>
      <c r="D282" s="40" t="s">
        <v>17</v>
      </c>
      <c r="E282" s="40" t="s">
        <v>413</v>
      </c>
      <c r="F282" s="40" t="s">
        <v>268</v>
      </c>
      <c r="G282" s="29"/>
      <c r="I282" s="47"/>
      <c r="J282" s="28">
        <v>39866.400000000001</v>
      </c>
      <c r="K282" s="47">
        <f t="shared" si="255"/>
        <v>39866.400000000001</v>
      </c>
      <c r="M282" s="47">
        <f t="shared" si="281"/>
        <v>39866.400000000001</v>
      </c>
      <c r="O282" s="47">
        <f t="shared" si="282"/>
        <v>39866.400000000001</v>
      </c>
      <c r="P282" s="30"/>
      <c r="Q282" s="47">
        <f t="shared" si="283"/>
        <v>39866.400000000001</v>
      </c>
      <c r="S282" s="47">
        <f t="shared" si="284"/>
        <v>39866.400000000001</v>
      </c>
      <c r="V282" s="47">
        <f>S282+U282</f>
        <v>39866.400000000001</v>
      </c>
      <c r="X282" s="47">
        <f>V282+W282</f>
        <v>39866.400000000001</v>
      </c>
      <c r="Y282" s="30">
        <v>438.8</v>
      </c>
      <c r="Z282" s="47">
        <f>X282+Y282</f>
        <v>40305.200000000004</v>
      </c>
      <c r="AA282" s="86">
        <v>40305.199999999997</v>
      </c>
      <c r="AB282" s="85">
        <f t="shared" si="270"/>
        <v>0.99999999999999978</v>
      </c>
    </row>
    <row r="283" spans="1:28" ht="14.25" customHeight="1" x14ac:dyDescent="0.25">
      <c r="A283" s="19" t="s">
        <v>416</v>
      </c>
      <c r="B283" s="40"/>
      <c r="C283" s="40" t="s">
        <v>56</v>
      </c>
      <c r="D283" s="40" t="s">
        <v>17</v>
      </c>
      <c r="E283" s="40" t="s">
        <v>415</v>
      </c>
      <c r="F283" s="40"/>
      <c r="G283" s="29"/>
      <c r="I283" s="47"/>
      <c r="K283" s="47">
        <f>K284</f>
        <v>2102.1999999999998</v>
      </c>
      <c r="M283" s="47">
        <f>M284</f>
        <v>2102.1999999999998</v>
      </c>
      <c r="O283" s="47">
        <f>O284</f>
        <v>2102.1999999999998</v>
      </c>
      <c r="P283" s="30"/>
      <c r="Q283" s="47">
        <f>Q284</f>
        <v>2102.1999999999998</v>
      </c>
      <c r="S283" s="47">
        <f>S284</f>
        <v>2102.1999999999998</v>
      </c>
      <c r="V283" s="47">
        <f>V284</f>
        <v>2102.1999999999998</v>
      </c>
      <c r="X283" s="47">
        <f>X284</f>
        <v>2102.1999999999998</v>
      </c>
      <c r="Z283" s="47">
        <f>Z284</f>
        <v>2102.1999999999998</v>
      </c>
      <c r="AA283" s="47">
        <f>AA284</f>
        <v>2102.1999999999998</v>
      </c>
      <c r="AB283" s="85">
        <f t="shared" si="270"/>
        <v>1</v>
      </c>
    </row>
    <row r="284" spans="1:28" x14ac:dyDescent="0.25">
      <c r="A284" s="19" t="s">
        <v>270</v>
      </c>
      <c r="B284" s="40"/>
      <c r="C284" s="40" t="s">
        <v>56</v>
      </c>
      <c r="D284" s="40" t="s">
        <v>17</v>
      </c>
      <c r="E284" s="40" t="s">
        <v>415</v>
      </c>
      <c r="F284" s="40" t="s">
        <v>269</v>
      </c>
      <c r="G284" s="29"/>
      <c r="I284" s="47"/>
      <c r="J284" s="28">
        <v>2102.1999999999998</v>
      </c>
      <c r="K284" s="47">
        <f t="shared" si="255"/>
        <v>2102.1999999999998</v>
      </c>
      <c r="M284" s="47">
        <f t="shared" ref="M284" si="285">K284+L284</f>
        <v>2102.1999999999998</v>
      </c>
      <c r="O284" s="47">
        <f t="shared" ref="O284" si="286">M284+N284</f>
        <v>2102.1999999999998</v>
      </c>
      <c r="P284" s="30"/>
      <c r="Q284" s="47">
        <f t="shared" ref="Q284" si="287">O284+P284</f>
        <v>2102.1999999999998</v>
      </c>
      <c r="S284" s="47">
        <f t="shared" ref="S284:S286" si="288">Q284+R284</f>
        <v>2102.1999999999998</v>
      </c>
      <c r="V284" s="47">
        <f>S284+U284</f>
        <v>2102.1999999999998</v>
      </c>
      <c r="X284" s="47">
        <f>V284+W284</f>
        <v>2102.1999999999998</v>
      </c>
      <c r="Z284" s="47">
        <f>X284+Y284</f>
        <v>2102.1999999999998</v>
      </c>
      <c r="AA284" s="86">
        <v>2102.1999999999998</v>
      </c>
      <c r="AB284" s="85">
        <f t="shared" si="270"/>
        <v>1</v>
      </c>
    </row>
    <row r="285" spans="1:28" x14ac:dyDescent="0.25">
      <c r="A285" s="19" t="s">
        <v>584</v>
      </c>
      <c r="B285" s="40"/>
      <c r="C285" s="40" t="s">
        <v>56</v>
      </c>
      <c r="D285" s="40" t="s">
        <v>17</v>
      </c>
      <c r="E285" s="40" t="s">
        <v>583</v>
      </c>
      <c r="F285" s="40"/>
      <c r="G285" s="29"/>
      <c r="I285" s="47"/>
      <c r="K285" s="47"/>
      <c r="M285" s="47"/>
      <c r="O285" s="47"/>
      <c r="P285" s="30"/>
      <c r="Q285" s="47"/>
      <c r="S285" s="47">
        <f>S286</f>
        <v>50</v>
      </c>
      <c r="V285" s="47">
        <f>V286</f>
        <v>50</v>
      </c>
      <c r="X285" s="47">
        <f>X286</f>
        <v>50</v>
      </c>
      <c r="Z285" s="47">
        <f>Z286</f>
        <v>50</v>
      </c>
      <c r="AA285" s="47">
        <f>AA286</f>
        <v>50</v>
      </c>
      <c r="AB285" s="85">
        <f t="shared" si="270"/>
        <v>1</v>
      </c>
    </row>
    <row r="286" spans="1:28" x14ac:dyDescent="0.25">
      <c r="A286" s="19" t="s">
        <v>270</v>
      </c>
      <c r="B286" s="40"/>
      <c r="C286" s="40" t="s">
        <v>56</v>
      </c>
      <c r="D286" s="40" t="s">
        <v>17</v>
      </c>
      <c r="E286" s="40" t="s">
        <v>583</v>
      </c>
      <c r="F286" s="40" t="s">
        <v>269</v>
      </c>
      <c r="G286" s="29"/>
      <c r="I286" s="47"/>
      <c r="K286" s="47"/>
      <c r="M286" s="47"/>
      <c r="O286" s="47"/>
      <c r="P286" s="30"/>
      <c r="Q286" s="47"/>
      <c r="R286" s="30">
        <v>50</v>
      </c>
      <c r="S286" s="47">
        <f t="shared" si="288"/>
        <v>50</v>
      </c>
      <c r="V286" s="47">
        <f>S286+U286</f>
        <v>50</v>
      </c>
      <c r="X286" s="47">
        <f>V286+W286</f>
        <v>50</v>
      </c>
      <c r="Z286" s="47">
        <f>X286+Y286</f>
        <v>50</v>
      </c>
      <c r="AA286" s="86">
        <v>50</v>
      </c>
      <c r="AB286" s="85">
        <f t="shared" si="270"/>
        <v>1</v>
      </c>
    </row>
    <row r="287" spans="1:28" ht="14.25" customHeight="1" x14ac:dyDescent="0.25">
      <c r="A287" s="42" t="s">
        <v>76</v>
      </c>
      <c r="B287" s="35"/>
      <c r="C287" s="35" t="s">
        <v>56</v>
      </c>
      <c r="D287" s="35" t="s">
        <v>46</v>
      </c>
      <c r="E287" s="35"/>
      <c r="F287" s="35"/>
      <c r="G287" s="36">
        <f>G288</f>
        <v>45</v>
      </c>
      <c r="I287" s="48">
        <f>I288</f>
        <v>45</v>
      </c>
      <c r="K287" s="48">
        <f>K288</f>
        <v>45</v>
      </c>
      <c r="M287" s="48">
        <f>M288</f>
        <v>45</v>
      </c>
      <c r="O287" s="48">
        <f>O288</f>
        <v>45</v>
      </c>
      <c r="P287" s="30"/>
      <c r="Q287" s="48">
        <f>Q288</f>
        <v>45</v>
      </c>
      <c r="S287" s="48">
        <f>S288</f>
        <v>45</v>
      </c>
      <c r="V287" s="48">
        <f>V288</f>
        <v>45</v>
      </c>
      <c r="X287" s="48">
        <f>X288</f>
        <v>45</v>
      </c>
      <c r="Z287" s="48">
        <f>Z288</f>
        <v>45</v>
      </c>
      <c r="AA287" s="48">
        <f>AA288</f>
        <v>26.09</v>
      </c>
      <c r="AB287" s="87">
        <f t="shared" si="270"/>
        <v>0.57977777777777773</v>
      </c>
    </row>
    <row r="288" spans="1:28" ht="17.25" customHeight="1" x14ac:dyDescent="0.25">
      <c r="A288" s="19" t="s">
        <v>77</v>
      </c>
      <c r="B288" s="40"/>
      <c r="C288" s="40" t="s">
        <v>56</v>
      </c>
      <c r="D288" s="40" t="s">
        <v>46</v>
      </c>
      <c r="E288" s="40" t="s">
        <v>278</v>
      </c>
      <c r="F288" s="40"/>
      <c r="G288" s="29">
        <f>G289</f>
        <v>45</v>
      </c>
      <c r="I288" s="47">
        <f>I289</f>
        <v>45</v>
      </c>
      <c r="K288" s="47">
        <f>K289</f>
        <v>45</v>
      </c>
      <c r="M288" s="47">
        <f>M289</f>
        <v>45</v>
      </c>
      <c r="O288" s="47">
        <f>O289+O290+O291</f>
        <v>45</v>
      </c>
      <c r="P288" s="30"/>
      <c r="Q288" s="47">
        <f>Q289+Q290+Q291</f>
        <v>45</v>
      </c>
      <c r="S288" s="47">
        <f>S289+S290+S291</f>
        <v>45</v>
      </c>
      <c r="V288" s="47">
        <f>V289+V290+V291</f>
        <v>45</v>
      </c>
      <c r="X288" s="47">
        <f>X289+X290+X291</f>
        <v>45</v>
      </c>
      <c r="Z288" s="47">
        <f>Z289+Z290+Z291</f>
        <v>45</v>
      </c>
      <c r="AA288" s="47">
        <f>AA289+AA290+AA291</f>
        <v>26.09</v>
      </c>
      <c r="AB288" s="85">
        <f t="shared" si="270"/>
        <v>0.57977777777777773</v>
      </c>
    </row>
    <row r="289" spans="1:28" x14ac:dyDescent="0.25">
      <c r="A289" s="43" t="s">
        <v>244</v>
      </c>
      <c r="B289" s="40"/>
      <c r="C289" s="40" t="s">
        <v>56</v>
      </c>
      <c r="D289" s="40" t="s">
        <v>46</v>
      </c>
      <c r="E289" s="40" t="s">
        <v>278</v>
      </c>
      <c r="F289" s="40" t="s">
        <v>225</v>
      </c>
      <c r="G289" s="29">
        <v>45</v>
      </c>
      <c r="I289" s="47">
        <f t="shared" ref="I289:K289" si="289">G289+H289</f>
        <v>45</v>
      </c>
      <c r="K289" s="47">
        <f t="shared" si="289"/>
        <v>45</v>
      </c>
      <c r="M289" s="47">
        <f t="shared" ref="M289" si="290">K289+L289</f>
        <v>45</v>
      </c>
      <c r="N289" s="30">
        <v>-45</v>
      </c>
      <c r="O289" s="47">
        <f t="shared" ref="O289:O291" si="291">M289+N289</f>
        <v>0</v>
      </c>
      <c r="P289" s="30"/>
      <c r="Q289" s="47">
        <f t="shared" ref="Q289:Q291" si="292">O289+P289</f>
        <v>0</v>
      </c>
      <c r="S289" s="47">
        <f t="shared" ref="S289:S291" si="293">Q289+R289</f>
        <v>0</v>
      </c>
      <c r="V289" s="47">
        <f>S289+U289</f>
        <v>0</v>
      </c>
      <c r="X289" s="47">
        <f>V289+W289</f>
        <v>0</v>
      </c>
      <c r="Z289" s="47">
        <f>X289+Y289</f>
        <v>0</v>
      </c>
      <c r="AA289" s="86">
        <v>0</v>
      </c>
      <c r="AB289" s="85">
        <v>0</v>
      </c>
    </row>
    <row r="290" spans="1:28" x14ac:dyDescent="0.25">
      <c r="A290" s="19" t="s">
        <v>266</v>
      </c>
      <c r="B290" s="40"/>
      <c r="C290" s="40" t="s">
        <v>56</v>
      </c>
      <c r="D290" s="40" t="s">
        <v>46</v>
      </c>
      <c r="E290" s="40" t="s">
        <v>278</v>
      </c>
      <c r="F290" s="40" t="s">
        <v>265</v>
      </c>
      <c r="G290" s="29"/>
      <c r="I290" s="47"/>
      <c r="K290" s="47"/>
      <c r="M290" s="47"/>
      <c r="N290" s="30">
        <v>19.8</v>
      </c>
      <c r="O290" s="47">
        <f t="shared" si="291"/>
        <v>19.8</v>
      </c>
      <c r="P290" s="30"/>
      <c r="Q290" s="47">
        <f t="shared" si="292"/>
        <v>19.8</v>
      </c>
      <c r="S290" s="47">
        <f t="shared" si="293"/>
        <v>19.8</v>
      </c>
      <c r="V290" s="47">
        <f>S290+U290</f>
        <v>19.8</v>
      </c>
      <c r="X290" s="47">
        <f>V290+W290</f>
        <v>19.8</v>
      </c>
      <c r="Z290" s="47">
        <f>X290+Y290</f>
        <v>19.8</v>
      </c>
      <c r="AA290" s="86">
        <v>10.4</v>
      </c>
      <c r="AB290" s="85">
        <f t="shared" si="270"/>
        <v>0.5252525252525253</v>
      </c>
    </row>
    <row r="291" spans="1:28" x14ac:dyDescent="0.25">
      <c r="A291" s="19" t="s">
        <v>270</v>
      </c>
      <c r="B291" s="40"/>
      <c r="C291" s="40" t="s">
        <v>56</v>
      </c>
      <c r="D291" s="40" t="s">
        <v>46</v>
      </c>
      <c r="E291" s="40" t="s">
        <v>278</v>
      </c>
      <c r="F291" s="40" t="s">
        <v>269</v>
      </c>
      <c r="G291" s="29"/>
      <c r="I291" s="47"/>
      <c r="K291" s="47"/>
      <c r="M291" s="47"/>
      <c r="N291" s="30">
        <v>25.2</v>
      </c>
      <c r="O291" s="47">
        <f t="shared" si="291"/>
        <v>25.2</v>
      </c>
      <c r="P291" s="30"/>
      <c r="Q291" s="47">
        <f t="shared" si="292"/>
        <v>25.2</v>
      </c>
      <c r="S291" s="47">
        <f t="shared" si="293"/>
        <v>25.2</v>
      </c>
      <c r="V291" s="47">
        <f>S291+U291</f>
        <v>25.2</v>
      </c>
      <c r="X291" s="47">
        <f>V291+W291</f>
        <v>25.2</v>
      </c>
      <c r="Z291" s="47">
        <f>X291+Y291</f>
        <v>25.2</v>
      </c>
      <c r="AA291" s="86">
        <v>15.69</v>
      </c>
      <c r="AB291" s="85">
        <f t="shared" si="270"/>
        <v>0.62261904761904763</v>
      </c>
    </row>
    <row r="292" spans="1:28" x14ac:dyDescent="0.25">
      <c r="A292" s="42" t="s">
        <v>280</v>
      </c>
      <c r="B292" s="35"/>
      <c r="C292" s="35" t="s">
        <v>56</v>
      </c>
      <c r="D292" s="35" t="s">
        <v>56</v>
      </c>
      <c r="E292" s="35"/>
      <c r="F292" s="35"/>
      <c r="G292" s="36">
        <f>G293</f>
        <v>1000</v>
      </c>
      <c r="I292" s="48">
        <f>I293</f>
        <v>1000</v>
      </c>
      <c r="K292" s="48">
        <f>K293</f>
        <v>1000</v>
      </c>
      <c r="M292" s="67">
        <f>M293</f>
        <v>1000</v>
      </c>
      <c r="O292" s="71">
        <f>O293+O297+O299</f>
        <v>1516.4299999999998</v>
      </c>
      <c r="Q292" s="71">
        <f>Q293+Q297+Q299</f>
        <v>1516.4299999999998</v>
      </c>
      <c r="S292" s="71">
        <f>S293+S297+S299+S302</f>
        <v>1632.6799999999998</v>
      </c>
      <c r="V292" s="71">
        <f>V293+V297+V299+V302</f>
        <v>1632.6799999999998</v>
      </c>
      <c r="X292" s="71">
        <f>X293+X297+X299+X302</f>
        <v>1632.6799999999998</v>
      </c>
      <c r="Z292" s="48">
        <f>Z293+Z297+Z299+Z302</f>
        <v>1632.6799999999998</v>
      </c>
      <c r="AA292" s="48">
        <f>AA293+AA297+AA299+AA302</f>
        <v>1615.4700000000003</v>
      </c>
      <c r="AB292" s="87">
        <f t="shared" si="270"/>
        <v>0.98945904892569303</v>
      </c>
    </row>
    <row r="293" spans="1:28" x14ac:dyDescent="0.25">
      <c r="A293" s="19" t="s">
        <v>529</v>
      </c>
      <c r="B293" s="40"/>
      <c r="C293" s="40" t="s">
        <v>56</v>
      </c>
      <c r="D293" s="40" t="s">
        <v>56</v>
      </c>
      <c r="E293" s="40" t="s">
        <v>279</v>
      </c>
      <c r="F293" s="40"/>
      <c r="G293" s="29">
        <f>G294</f>
        <v>1000</v>
      </c>
      <c r="I293" s="47">
        <f>I294</f>
        <v>1000</v>
      </c>
      <c r="K293" s="47">
        <f>K294</f>
        <v>1000</v>
      </c>
      <c r="M293" s="47">
        <f>M294</f>
        <v>1000</v>
      </c>
      <c r="O293" s="47">
        <f>O294+O295+O296</f>
        <v>993.3</v>
      </c>
      <c r="P293" s="30"/>
      <c r="Q293" s="47">
        <f>Q294+Q295+Q296</f>
        <v>993.3</v>
      </c>
      <c r="S293" s="47">
        <f>S294+S295+S296</f>
        <v>993.3</v>
      </c>
      <c r="V293" s="47">
        <f>V294+V295+V296</f>
        <v>993.3</v>
      </c>
      <c r="X293" s="47">
        <f>X294+X295+X296</f>
        <v>993.3</v>
      </c>
      <c r="Z293" s="47">
        <f>Z294+Z295+Z296</f>
        <v>993.3</v>
      </c>
      <c r="AA293" s="47">
        <f>AA294+AA295+AA296</f>
        <v>976.09</v>
      </c>
      <c r="AB293" s="85">
        <f t="shared" si="270"/>
        <v>0.98267391523205483</v>
      </c>
    </row>
    <row r="294" spans="1:28" x14ac:dyDescent="0.25">
      <c r="A294" s="43" t="s">
        <v>530</v>
      </c>
      <c r="B294" s="40"/>
      <c r="C294" s="40" t="s">
        <v>56</v>
      </c>
      <c r="D294" s="40" t="s">
        <v>56</v>
      </c>
      <c r="E294" s="40" t="s">
        <v>279</v>
      </c>
      <c r="F294" s="40" t="s">
        <v>299</v>
      </c>
      <c r="G294" s="29">
        <v>1000</v>
      </c>
      <c r="I294" s="47">
        <f t="shared" ref="I294:K294" si="294">G294+H294</f>
        <v>1000</v>
      </c>
      <c r="K294" s="47">
        <f t="shared" si="294"/>
        <v>1000</v>
      </c>
      <c r="M294" s="47">
        <f t="shared" ref="M294" si="295">K294+L294</f>
        <v>1000</v>
      </c>
      <c r="N294" s="30">
        <v>-801.2</v>
      </c>
      <c r="O294" s="47">
        <f t="shared" ref="O294:O301" si="296">M294+N294</f>
        <v>198.79999999999995</v>
      </c>
      <c r="P294" s="30"/>
      <c r="Q294" s="47">
        <f t="shared" ref="Q294:Q296" si="297">O294+P294</f>
        <v>198.79999999999995</v>
      </c>
      <c r="R294" s="30">
        <v>-57.17</v>
      </c>
      <c r="S294" s="47">
        <f t="shared" ref="S294:S296" si="298">Q294+R294</f>
        <v>141.62999999999994</v>
      </c>
      <c r="V294" s="47">
        <f>S294+U294</f>
        <v>141.62999999999994</v>
      </c>
      <c r="X294" s="47">
        <f>V294+W294</f>
        <v>141.62999999999994</v>
      </c>
      <c r="Y294" s="30">
        <v>-125.92</v>
      </c>
      <c r="Z294" s="47">
        <f>X294+Y294</f>
        <v>15.709999999999937</v>
      </c>
      <c r="AA294" s="86">
        <v>0</v>
      </c>
      <c r="AB294" s="85">
        <f t="shared" si="270"/>
        <v>0</v>
      </c>
    </row>
    <row r="295" spans="1:28" x14ac:dyDescent="0.25">
      <c r="A295" s="19" t="s">
        <v>266</v>
      </c>
      <c r="B295" s="40"/>
      <c r="C295" s="40" t="s">
        <v>56</v>
      </c>
      <c r="D295" s="40" t="s">
        <v>56</v>
      </c>
      <c r="E295" s="40" t="s">
        <v>279</v>
      </c>
      <c r="F295" s="40" t="s">
        <v>265</v>
      </c>
      <c r="G295" s="29"/>
      <c r="I295" s="47"/>
      <c r="K295" s="47"/>
      <c r="M295" s="47"/>
      <c r="N295" s="30">
        <v>337.35</v>
      </c>
      <c r="O295" s="47">
        <f t="shared" si="296"/>
        <v>337.35</v>
      </c>
      <c r="P295" s="30"/>
      <c r="Q295" s="47">
        <f t="shared" si="297"/>
        <v>337.35</v>
      </c>
      <c r="R295" s="30">
        <v>29.92</v>
      </c>
      <c r="S295" s="47">
        <f t="shared" si="298"/>
        <v>367.27000000000004</v>
      </c>
      <c r="V295" s="47">
        <f>S295+U295</f>
        <v>367.27000000000004</v>
      </c>
      <c r="X295" s="47">
        <f>V295+W295</f>
        <v>367.27000000000004</v>
      </c>
      <c r="Y295" s="30">
        <v>17.73</v>
      </c>
      <c r="Z295" s="47">
        <f>X295+Y295</f>
        <v>385.00000000000006</v>
      </c>
      <c r="AA295" s="86">
        <v>383.5</v>
      </c>
      <c r="AB295" s="85">
        <f t="shared" si="270"/>
        <v>0.99610389610389594</v>
      </c>
    </row>
    <row r="296" spans="1:28" x14ac:dyDescent="0.25">
      <c r="A296" s="19" t="s">
        <v>270</v>
      </c>
      <c r="B296" s="40"/>
      <c r="C296" s="40" t="s">
        <v>56</v>
      </c>
      <c r="D296" s="40" t="s">
        <v>56</v>
      </c>
      <c r="E296" s="40" t="s">
        <v>279</v>
      </c>
      <c r="F296" s="40" t="s">
        <v>269</v>
      </c>
      <c r="G296" s="29"/>
      <c r="I296" s="47"/>
      <c r="K296" s="47"/>
      <c r="M296" s="47"/>
      <c r="N296" s="30">
        <v>457.15</v>
      </c>
      <c r="O296" s="47">
        <f t="shared" si="296"/>
        <v>457.15</v>
      </c>
      <c r="P296" s="30"/>
      <c r="Q296" s="47">
        <f t="shared" si="297"/>
        <v>457.15</v>
      </c>
      <c r="R296" s="30">
        <v>27.25</v>
      </c>
      <c r="S296" s="47">
        <f t="shared" si="298"/>
        <v>484.4</v>
      </c>
      <c r="V296" s="47">
        <f>S296+U296</f>
        <v>484.4</v>
      </c>
      <c r="X296" s="47">
        <f>V296+W296</f>
        <v>484.4</v>
      </c>
      <c r="Y296" s="30">
        <v>108.19</v>
      </c>
      <c r="Z296" s="47">
        <f>X296+Y296</f>
        <v>592.58999999999992</v>
      </c>
      <c r="AA296" s="86">
        <v>592.59</v>
      </c>
      <c r="AB296" s="85">
        <f t="shared" si="270"/>
        <v>1.0000000000000002</v>
      </c>
    </row>
    <row r="297" spans="1:28" x14ac:dyDescent="0.25">
      <c r="A297" s="19" t="s">
        <v>102</v>
      </c>
      <c r="B297" s="40"/>
      <c r="C297" s="40" t="s">
        <v>56</v>
      </c>
      <c r="D297" s="40" t="s">
        <v>56</v>
      </c>
      <c r="E297" s="40" t="s">
        <v>527</v>
      </c>
      <c r="F297" s="40"/>
      <c r="G297" s="29"/>
      <c r="I297" s="47"/>
      <c r="K297" s="47"/>
      <c r="M297" s="47"/>
      <c r="O297" s="47">
        <f>O298</f>
        <v>94.5</v>
      </c>
      <c r="P297" s="30"/>
      <c r="Q297" s="47">
        <f>Q298</f>
        <v>94.5</v>
      </c>
      <c r="S297" s="47">
        <f>S298</f>
        <v>94.5</v>
      </c>
      <c r="V297" s="47">
        <f>V298</f>
        <v>94.5</v>
      </c>
      <c r="X297" s="47">
        <f>X298</f>
        <v>94.5</v>
      </c>
      <c r="Z297" s="47">
        <f>Z298</f>
        <v>94.5</v>
      </c>
      <c r="AA297" s="47">
        <f>AA298</f>
        <v>94.5</v>
      </c>
      <c r="AB297" s="85">
        <f t="shared" si="270"/>
        <v>1</v>
      </c>
    </row>
    <row r="298" spans="1:28" x14ac:dyDescent="0.25">
      <c r="A298" s="19" t="s">
        <v>270</v>
      </c>
      <c r="B298" s="40"/>
      <c r="C298" s="40" t="s">
        <v>56</v>
      </c>
      <c r="D298" s="40" t="s">
        <v>56</v>
      </c>
      <c r="E298" s="40" t="s">
        <v>527</v>
      </c>
      <c r="F298" s="40" t="s">
        <v>269</v>
      </c>
      <c r="G298" s="29"/>
      <c r="I298" s="47"/>
      <c r="K298" s="47"/>
      <c r="M298" s="47"/>
      <c r="N298" s="30">
        <v>94.5</v>
      </c>
      <c r="O298" s="47">
        <f t="shared" si="296"/>
        <v>94.5</v>
      </c>
      <c r="P298" s="30"/>
      <c r="Q298" s="47">
        <f t="shared" ref="Q298" si="299">O298+P298</f>
        <v>94.5</v>
      </c>
      <c r="S298" s="47">
        <f t="shared" ref="S298" si="300">Q298+R298</f>
        <v>94.5</v>
      </c>
      <c r="V298" s="47">
        <f>S298+U298</f>
        <v>94.5</v>
      </c>
      <c r="X298" s="47">
        <f>V298+W298</f>
        <v>94.5</v>
      </c>
      <c r="Z298" s="47">
        <f>X298+Y298</f>
        <v>94.5</v>
      </c>
      <c r="AA298" s="86">
        <v>94.5</v>
      </c>
      <c r="AB298" s="85">
        <f t="shared" si="270"/>
        <v>1</v>
      </c>
    </row>
    <row r="299" spans="1:28" x14ac:dyDescent="0.25">
      <c r="A299" s="19" t="s">
        <v>531</v>
      </c>
      <c r="B299" s="40"/>
      <c r="C299" s="40" t="s">
        <v>56</v>
      </c>
      <c r="D299" s="40" t="s">
        <v>56</v>
      </c>
      <c r="E299" s="40" t="s">
        <v>528</v>
      </c>
      <c r="F299" s="40"/>
      <c r="G299" s="29"/>
      <c r="I299" s="47"/>
      <c r="K299" s="47"/>
      <c r="M299" s="47"/>
      <c r="O299" s="47">
        <f>O300+O301</f>
        <v>428.63</v>
      </c>
      <c r="P299" s="30"/>
      <c r="Q299" s="47">
        <f>Q300+Q301</f>
        <v>428.63</v>
      </c>
      <c r="S299" s="47">
        <f>S300+S301</f>
        <v>494.88</v>
      </c>
      <c r="T299" s="75"/>
      <c r="V299" s="47">
        <f>V300+V301</f>
        <v>494.88</v>
      </c>
      <c r="X299" s="47">
        <f>X300+X301</f>
        <v>494.88</v>
      </c>
      <c r="Z299" s="47">
        <f>Z300+Z301</f>
        <v>494.88</v>
      </c>
      <c r="AA299" s="47">
        <f>AA300+AA301</f>
        <v>494.88</v>
      </c>
      <c r="AB299" s="85">
        <f t="shared" si="270"/>
        <v>1</v>
      </c>
    </row>
    <row r="300" spans="1:28" x14ac:dyDescent="0.25">
      <c r="A300" s="19" t="s">
        <v>266</v>
      </c>
      <c r="B300" s="40"/>
      <c r="C300" s="40" t="s">
        <v>56</v>
      </c>
      <c r="D300" s="40" t="s">
        <v>56</v>
      </c>
      <c r="E300" s="40" t="s">
        <v>528</v>
      </c>
      <c r="F300" s="40" t="s">
        <v>265</v>
      </c>
      <c r="G300" s="29"/>
      <c r="I300" s="47"/>
      <c r="K300" s="47"/>
      <c r="M300" s="47"/>
      <c r="N300" s="30">
        <v>168.75</v>
      </c>
      <c r="O300" s="47">
        <f t="shared" si="296"/>
        <v>168.75</v>
      </c>
      <c r="P300" s="30"/>
      <c r="Q300" s="47">
        <f t="shared" ref="Q300:Q301" si="301">O300+P300</f>
        <v>168.75</v>
      </c>
      <c r="S300" s="47">
        <f t="shared" ref="S300:S303" si="302">Q300+R300</f>
        <v>168.75</v>
      </c>
      <c r="V300" s="47">
        <f>S300+U300</f>
        <v>168.75</v>
      </c>
      <c r="X300" s="47">
        <f>V300+W300</f>
        <v>168.75</v>
      </c>
      <c r="Z300" s="47">
        <f>X300+Y300</f>
        <v>168.75</v>
      </c>
      <c r="AA300" s="86">
        <v>168.75</v>
      </c>
      <c r="AB300" s="85">
        <f t="shared" si="270"/>
        <v>1</v>
      </c>
    </row>
    <row r="301" spans="1:28" x14ac:dyDescent="0.25">
      <c r="A301" s="19" t="s">
        <v>270</v>
      </c>
      <c r="B301" s="40"/>
      <c r="C301" s="40" t="s">
        <v>56</v>
      </c>
      <c r="D301" s="40" t="s">
        <v>56</v>
      </c>
      <c r="E301" s="40" t="s">
        <v>528</v>
      </c>
      <c r="F301" s="40" t="s">
        <v>269</v>
      </c>
      <c r="G301" s="29"/>
      <c r="I301" s="47"/>
      <c r="K301" s="47"/>
      <c r="M301" s="47"/>
      <c r="N301" s="30">
        <v>259.88</v>
      </c>
      <c r="O301" s="47">
        <f t="shared" si="296"/>
        <v>259.88</v>
      </c>
      <c r="P301" s="30"/>
      <c r="Q301" s="47">
        <f t="shared" si="301"/>
        <v>259.88</v>
      </c>
      <c r="R301" s="30">
        <v>66.25</v>
      </c>
      <c r="S301" s="47">
        <f t="shared" si="302"/>
        <v>326.13</v>
      </c>
      <c r="V301" s="47">
        <f>S301+U301</f>
        <v>326.13</v>
      </c>
      <c r="X301" s="47">
        <f>V301+W301</f>
        <v>326.13</v>
      </c>
      <c r="Z301" s="47">
        <f>X301+Y301</f>
        <v>326.13</v>
      </c>
      <c r="AA301" s="86">
        <v>326.13</v>
      </c>
      <c r="AB301" s="85">
        <f t="shared" si="270"/>
        <v>1</v>
      </c>
    </row>
    <row r="302" spans="1:28" x14ac:dyDescent="0.25">
      <c r="A302" s="72" t="s">
        <v>586</v>
      </c>
      <c r="B302" s="40"/>
      <c r="C302" s="40" t="s">
        <v>56</v>
      </c>
      <c r="D302" s="40" t="s">
        <v>56</v>
      </c>
      <c r="E302" s="40" t="s">
        <v>585</v>
      </c>
      <c r="F302" s="40"/>
      <c r="G302" s="29"/>
      <c r="I302" s="47"/>
      <c r="K302" s="47"/>
      <c r="M302" s="47"/>
      <c r="O302" s="47"/>
      <c r="P302" s="30"/>
      <c r="Q302" s="47"/>
      <c r="S302" s="47">
        <f>S303</f>
        <v>50</v>
      </c>
      <c r="V302" s="47">
        <f>V303</f>
        <v>50</v>
      </c>
      <c r="X302" s="47">
        <f>X303</f>
        <v>50</v>
      </c>
      <c r="Z302" s="47">
        <f>Z303</f>
        <v>50</v>
      </c>
      <c r="AA302" s="47">
        <f>AA303</f>
        <v>50</v>
      </c>
      <c r="AB302" s="85">
        <f t="shared" si="270"/>
        <v>1</v>
      </c>
    </row>
    <row r="303" spans="1:28" x14ac:dyDescent="0.25">
      <c r="A303" s="19" t="s">
        <v>266</v>
      </c>
      <c r="B303" s="40"/>
      <c r="C303" s="40" t="s">
        <v>56</v>
      </c>
      <c r="D303" s="40" t="s">
        <v>56</v>
      </c>
      <c r="E303" s="40" t="s">
        <v>585</v>
      </c>
      <c r="F303" s="40" t="s">
        <v>265</v>
      </c>
      <c r="G303" s="29"/>
      <c r="I303" s="47"/>
      <c r="K303" s="47"/>
      <c r="M303" s="47"/>
      <c r="O303" s="47"/>
      <c r="P303" s="30"/>
      <c r="Q303" s="47"/>
      <c r="R303" s="30">
        <v>50</v>
      </c>
      <c r="S303" s="47">
        <f t="shared" si="302"/>
        <v>50</v>
      </c>
      <c r="V303" s="47">
        <f>S303+U303</f>
        <v>50</v>
      </c>
      <c r="X303" s="47">
        <f>V303+W303</f>
        <v>50</v>
      </c>
      <c r="Z303" s="47">
        <f>X303+Y303</f>
        <v>50</v>
      </c>
      <c r="AA303" s="86">
        <v>50</v>
      </c>
      <c r="AB303" s="85">
        <f t="shared" si="270"/>
        <v>1</v>
      </c>
    </row>
    <row r="304" spans="1:28" x14ac:dyDescent="0.25">
      <c r="A304" s="10" t="s">
        <v>62</v>
      </c>
      <c r="B304" s="40"/>
      <c r="C304" s="35" t="s">
        <v>56</v>
      </c>
      <c r="D304" s="35" t="s">
        <v>63</v>
      </c>
      <c r="E304" s="35"/>
      <c r="F304" s="35"/>
      <c r="G304" s="36">
        <f>G305</f>
        <v>2140</v>
      </c>
      <c r="H304" s="56"/>
      <c r="I304" s="48">
        <f>I305</f>
        <v>2140</v>
      </c>
      <c r="J304" s="57"/>
      <c r="K304" s="48">
        <f>K305+K307</f>
        <v>2140</v>
      </c>
      <c r="L304" s="66"/>
      <c r="M304" s="48">
        <f>M305+M307</f>
        <v>2140</v>
      </c>
      <c r="N304" s="66"/>
      <c r="O304" s="48">
        <f>O305+O307</f>
        <v>2140</v>
      </c>
      <c r="P304" s="66"/>
      <c r="Q304" s="48">
        <f>Q305+Q307</f>
        <v>2140</v>
      </c>
      <c r="R304" s="66"/>
      <c r="S304" s="48">
        <f>S305+S307</f>
        <v>2140</v>
      </c>
      <c r="U304" s="66"/>
      <c r="V304" s="48">
        <f>V305+V307</f>
        <v>2140</v>
      </c>
      <c r="W304" s="66"/>
      <c r="X304" s="48">
        <f>X305+X307</f>
        <v>2140</v>
      </c>
      <c r="Y304" s="66"/>
      <c r="Z304" s="48">
        <f>Z305+Z307</f>
        <v>2031</v>
      </c>
      <c r="AA304" s="48">
        <f>AA305+AA307</f>
        <v>2031</v>
      </c>
      <c r="AB304" s="87">
        <f t="shared" si="270"/>
        <v>1</v>
      </c>
    </row>
    <row r="305" spans="1:28" ht="33.75" customHeight="1" x14ac:dyDescent="0.25">
      <c r="A305" s="13" t="s">
        <v>179</v>
      </c>
      <c r="B305" s="40"/>
      <c r="C305" s="40" t="s">
        <v>56</v>
      </c>
      <c r="D305" s="40" t="s">
        <v>63</v>
      </c>
      <c r="E305" s="40" t="s">
        <v>359</v>
      </c>
      <c r="F305" s="40"/>
      <c r="G305" s="29">
        <f>G306</f>
        <v>2140</v>
      </c>
      <c r="I305" s="47">
        <f>I306</f>
        <v>2140</v>
      </c>
      <c r="K305" s="47">
        <f>K306</f>
        <v>0</v>
      </c>
      <c r="M305" s="47">
        <f>M306</f>
        <v>0</v>
      </c>
      <c r="O305" s="47">
        <f>O306</f>
        <v>0</v>
      </c>
      <c r="P305" s="30"/>
      <c r="Q305" s="47">
        <f>Q306</f>
        <v>0</v>
      </c>
      <c r="S305" s="47">
        <f>S306</f>
        <v>0</v>
      </c>
      <c r="V305" s="47">
        <f>V306</f>
        <v>0</v>
      </c>
      <c r="X305" s="47">
        <f>X306</f>
        <v>0</v>
      </c>
      <c r="Z305" s="47">
        <f>Z306</f>
        <v>0</v>
      </c>
      <c r="AA305" s="47">
        <f>AA306</f>
        <v>0</v>
      </c>
      <c r="AB305" s="85">
        <v>0</v>
      </c>
    </row>
    <row r="306" spans="1:28" ht="33" customHeight="1" x14ac:dyDescent="0.25">
      <c r="A306" s="19" t="s">
        <v>267</v>
      </c>
      <c r="B306" s="40"/>
      <c r="C306" s="40" t="s">
        <v>56</v>
      </c>
      <c r="D306" s="40" t="s">
        <v>63</v>
      </c>
      <c r="E306" s="40" t="s">
        <v>359</v>
      </c>
      <c r="F306" s="40" t="s">
        <v>268</v>
      </c>
      <c r="G306" s="29">
        <v>2140</v>
      </c>
      <c r="I306" s="47">
        <f t="shared" ref="I306:K308" si="303">G306+H306</f>
        <v>2140</v>
      </c>
      <c r="J306" s="28">
        <v>-2140</v>
      </c>
      <c r="K306" s="47">
        <f t="shared" si="303"/>
        <v>0</v>
      </c>
      <c r="M306" s="47">
        <f t="shared" ref="M306" si="304">K306+L306</f>
        <v>0</v>
      </c>
      <c r="O306" s="47">
        <f t="shared" ref="O306" si="305">M306+N306</f>
        <v>0</v>
      </c>
      <c r="P306" s="30"/>
      <c r="Q306" s="47">
        <f t="shared" ref="Q306" si="306">O306+P306</f>
        <v>0</v>
      </c>
      <c r="S306" s="47">
        <f t="shared" ref="S306" si="307">Q306+R306</f>
        <v>0</v>
      </c>
      <c r="V306" s="47">
        <f>S306+U306</f>
        <v>0</v>
      </c>
      <c r="X306" s="47">
        <f>V306+W306</f>
        <v>0</v>
      </c>
      <c r="Z306" s="47">
        <f>X306+Y306</f>
        <v>0</v>
      </c>
      <c r="AA306" s="47">
        <f>Y306+Z306</f>
        <v>0</v>
      </c>
      <c r="AB306" s="85">
        <v>0</v>
      </c>
    </row>
    <row r="307" spans="1:28" ht="78" customHeight="1" x14ac:dyDescent="0.25">
      <c r="A307" s="19" t="s">
        <v>414</v>
      </c>
      <c r="B307" s="40"/>
      <c r="C307" s="40" t="s">
        <v>56</v>
      </c>
      <c r="D307" s="40" t="s">
        <v>63</v>
      </c>
      <c r="E307" s="40" t="s">
        <v>413</v>
      </c>
      <c r="F307" s="40"/>
      <c r="G307" s="29"/>
      <c r="I307" s="47"/>
      <c r="K307" s="47">
        <f>K308</f>
        <v>2140</v>
      </c>
      <c r="M307" s="47">
        <f>M308</f>
        <v>2140</v>
      </c>
      <c r="O307" s="47">
        <f>O308</f>
        <v>2140</v>
      </c>
      <c r="P307" s="30"/>
      <c r="Q307" s="47">
        <f>Q308</f>
        <v>2140</v>
      </c>
      <c r="S307" s="47">
        <f>S308</f>
        <v>2140</v>
      </c>
      <c r="V307" s="47">
        <f>V308</f>
        <v>2140</v>
      </c>
      <c r="X307" s="47">
        <f>X308</f>
        <v>2140</v>
      </c>
      <c r="Z307" s="47">
        <f>Z308</f>
        <v>2031</v>
      </c>
      <c r="AA307" s="47">
        <f>AA308</f>
        <v>2031</v>
      </c>
      <c r="AB307" s="85">
        <f t="shared" si="270"/>
        <v>1</v>
      </c>
    </row>
    <row r="308" spans="1:28" ht="29.25" customHeight="1" x14ac:dyDescent="0.25">
      <c r="A308" s="19" t="s">
        <v>267</v>
      </c>
      <c r="B308" s="40"/>
      <c r="C308" s="40" t="s">
        <v>56</v>
      </c>
      <c r="D308" s="40" t="s">
        <v>63</v>
      </c>
      <c r="E308" s="40" t="s">
        <v>413</v>
      </c>
      <c r="F308" s="40" t="s">
        <v>268</v>
      </c>
      <c r="G308" s="29"/>
      <c r="I308" s="47"/>
      <c r="J308" s="28">
        <v>2140</v>
      </c>
      <c r="K308" s="47">
        <f t="shared" si="303"/>
        <v>2140</v>
      </c>
      <c r="M308" s="47">
        <f t="shared" ref="M308" si="308">K308+L308</f>
        <v>2140</v>
      </c>
      <c r="O308" s="47">
        <f t="shared" ref="O308" si="309">M308+N308</f>
        <v>2140</v>
      </c>
      <c r="P308" s="30"/>
      <c r="Q308" s="47">
        <f t="shared" ref="Q308" si="310">O308+P308</f>
        <v>2140</v>
      </c>
      <c r="S308" s="47">
        <f t="shared" ref="S308" si="311">Q308+R308</f>
        <v>2140</v>
      </c>
      <c r="V308" s="47">
        <f>S308+U308</f>
        <v>2140</v>
      </c>
      <c r="X308" s="47">
        <f>V308+W308</f>
        <v>2140</v>
      </c>
      <c r="Y308" s="30">
        <v>-109</v>
      </c>
      <c r="Z308" s="47">
        <f>X308+Y308</f>
        <v>2031</v>
      </c>
      <c r="AA308" s="86">
        <v>2031</v>
      </c>
      <c r="AB308" s="85">
        <f t="shared" si="270"/>
        <v>1</v>
      </c>
    </row>
    <row r="309" spans="1:28" x14ac:dyDescent="0.25">
      <c r="A309" s="42" t="s">
        <v>203</v>
      </c>
      <c r="B309" s="35"/>
      <c r="C309" s="35" t="s">
        <v>63</v>
      </c>
      <c r="D309" s="35"/>
      <c r="E309" s="35"/>
      <c r="F309" s="35"/>
      <c r="G309" s="36">
        <f>G310</f>
        <v>306.5</v>
      </c>
      <c r="I309" s="48">
        <f>I310</f>
        <v>306.5</v>
      </c>
      <c r="K309" s="48">
        <f>K310</f>
        <v>306.5</v>
      </c>
      <c r="M309" s="48">
        <f>M310</f>
        <v>306.5</v>
      </c>
      <c r="O309" s="48">
        <f>O310</f>
        <v>306.5</v>
      </c>
      <c r="P309" s="30"/>
      <c r="Q309" s="48">
        <f>Q310</f>
        <v>306.5</v>
      </c>
      <c r="S309" s="48">
        <f>S310</f>
        <v>306.5</v>
      </c>
      <c r="V309" s="48">
        <f>V310</f>
        <v>306.5</v>
      </c>
      <c r="X309" s="48">
        <f>X310</f>
        <v>306.5</v>
      </c>
      <c r="Z309" s="48">
        <f>Z310</f>
        <v>114</v>
      </c>
      <c r="AA309" s="48">
        <f>AA310</f>
        <v>0</v>
      </c>
      <c r="AB309" s="87">
        <f t="shared" si="270"/>
        <v>0</v>
      </c>
    </row>
    <row r="310" spans="1:28" x14ac:dyDescent="0.25">
      <c r="A310" s="19" t="s">
        <v>208</v>
      </c>
      <c r="B310" s="40"/>
      <c r="C310" s="40" t="s">
        <v>63</v>
      </c>
      <c r="D310" s="40" t="s">
        <v>63</v>
      </c>
      <c r="E310" s="40"/>
      <c r="F310" s="40"/>
      <c r="G310" s="29">
        <f>G311+G313</f>
        <v>306.5</v>
      </c>
      <c r="I310" s="47">
        <f>I311+I313</f>
        <v>306.5</v>
      </c>
      <c r="K310" s="47">
        <f>K311+K313</f>
        <v>306.5</v>
      </c>
      <c r="M310" s="47">
        <f>M311+M313</f>
        <v>306.5</v>
      </c>
      <c r="O310" s="47">
        <f>O311+O313</f>
        <v>306.5</v>
      </c>
      <c r="P310" s="30"/>
      <c r="Q310" s="47">
        <f>Q311+Q313</f>
        <v>306.5</v>
      </c>
      <c r="S310" s="47">
        <f>S311+S313</f>
        <v>306.5</v>
      </c>
      <c r="V310" s="47">
        <f>V311+V313</f>
        <v>306.5</v>
      </c>
      <c r="X310" s="47">
        <f>X311+X313</f>
        <v>306.5</v>
      </c>
      <c r="Z310" s="47">
        <f>Z311+Z313</f>
        <v>114</v>
      </c>
      <c r="AA310" s="47">
        <f>AA311+AA313</f>
        <v>0</v>
      </c>
      <c r="AB310" s="85">
        <f t="shared" si="270"/>
        <v>0</v>
      </c>
    </row>
    <row r="311" spans="1:28" ht="28.5" customHeight="1" x14ac:dyDescent="0.25">
      <c r="A311" s="19" t="s">
        <v>562</v>
      </c>
      <c r="B311" s="40"/>
      <c r="C311" s="40" t="s">
        <v>63</v>
      </c>
      <c r="D311" s="40" t="s">
        <v>63</v>
      </c>
      <c r="E311" s="40" t="s">
        <v>304</v>
      </c>
      <c r="F311" s="40"/>
      <c r="G311" s="29">
        <f>G312</f>
        <v>114</v>
      </c>
      <c r="I311" s="47">
        <f>I312</f>
        <v>114</v>
      </c>
      <c r="K311" s="47">
        <f>K312</f>
        <v>114</v>
      </c>
      <c r="M311" s="47">
        <f>M312</f>
        <v>114</v>
      </c>
      <c r="O311" s="47">
        <f>O312</f>
        <v>114</v>
      </c>
      <c r="P311" s="30"/>
      <c r="Q311" s="47">
        <f>Q312</f>
        <v>114</v>
      </c>
      <c r="S311" s="47">
        <f>S312</f>
        <v>114</v>
      </c>
      <c r="V311" s="47">
        <f>V312</f>
        <v>114</v>
      </c>
      <c r="X311" s="47">
        <f>X312</f>
        <v>114</v>
      </c>
      <c r="Z311" s="47">
        <f>Z312</f>
        <v>114</v>
      </c>
      <c r="AA311" s="47">
        <f>AA312</f>
        <v>0</v>
      </c>
      <c r="AB311" s="85">
        <f t="shared" si="270"/>
        <v>0</v>
      </c>
    </row>
    <row r="312" spans="1:28" x14ac:dyDescent="0.25">
      <c r="A312" s="19" t="s">
        <v>266</v>
      </c>
      <c r="B312" s="40"/>
      <c r="C312" s="40" t="s">
        <v>63</v>
      </c>
      <c r="D312" s="40" t="s">
        <v>63</v>
      </c>
      <c r="E312" s="40" t="s">
        <v>304</v>
      </c>
      <c r="F312" s="40" t="s">
        <v>265</v>
      </c>
      <c r="G312" s="29">
        <v>114</v>
      </c>
      <c r="I312" s="47">
        <f t="shared" ref="I312:K314" si="312">G312+H312</f>
        <v>114</v>
      </c>
      <c r="K312" s="47">
        <f t="shared" si="312"/>
        <v>114</v>
      </c>
      <c r="M312" s="47">
        <f t="shared" ref="M312" si="313">K312+L312</f>
        <v>114</v>
      </c>
      <c r="O312" s="47">
        <f t="shared" ref="O312" si="314">M312+N312</f>
        <v>114</v>
      </c>
      <c r="P312" s="30"/>
      <c r="Q312" s="47">
        <f t="shared" ref="Q312" si="315">O312+P312</f>
        <v>114</v>
      </c>
      <c r="S312" s="47">
        <f t="shared" ref="S312" si="316">Q312+R312</f>
        <v>114</v>
      </c>
      <c r="V312" s="47">
        <f>S312+U312</f>
        <v>114</v>
      </c>
      <c r="X312" s="47">
        <f>V312+W312</f>
        <v>114</v>
      </c>
      <c r="Z312" s="47">
        <f>X312+Y312</f>
        <v>114</v>
      </c>
      <c r="AA312" s="86">
        <v>0</v>
      </c>
      <c r="AB312" s="85">
        <f t="shared" si="270"/>
        <v>0</v>
      </c>
    </row>
    <row r="313" spans="1:28" ht="13.5" customHeight="1" x14ac:dyDescent="0.25">
      <c r="A313" s="19" t="s">
        <v>563</v>
      </c>
      <c r="B313" s="40"/>
      <c r="C313" s="40" t="s">
        <v>63</v>
      </c>
      <c r="D313" s="40" t="s">
        <v>63</v>
      </c>
      <c r="E313" s="40" t="s">
        <v>340</v>
      </c>
      <c r="F313" s="40"/>
      <c r="G313" s="29">
        <f>G314</f>
        <v>192.5</v>
      </c>
      <c r="I313" s="47">
        <f>I314</f>
        <v>192.5</v>
      </c>
      <c r="K313" s="47">
        <f>K314</f>
        <v>192.5</v>
      </c>
      <c r="M313" s="47">
        <f>M314</f>
        <v>192.5</v>
      </c>
      <c r="O313" s="47">
        <f>O314</f>
        <v>192.5</v>
      </c>
      <c r="P313" s="30"/>
      <c r="Q313" s="47">
        <f>Q314</f>
        <v>192.5</v>
      </c>
      <c r="S313" s="47">
        <f>S314</f>
        <v>192.5</v>
      </c>
      <c r="V313" s="47">
        <f>V314</f>
        <v>192.5</v>
      </c>
      <c r="X313" s="47">
        <f>X314</f>
        <v>192.5</v>
      </c>
      <c r="Z313" s="47">
        <f>Z314</f>
        <v>0</v>
      </c>
      <c r="AA313" s="47">
        <f>AA314</f>
        <v>0</v>
      </c>
      <c r="AB313" s="85">
        <v>0</v>
      </c>
    </row>
    <row r="314" spans="1:28" x14ac:dyDescent="0.25">
      <c r="A314" s="19" t="s">
        <v>266</v>
      </c>
      <c r="B314" s="40"/>
      <c r="C314" s="40" t="s">
        <v>63</v>
      </c>
      <c r="D314" s="40" t="s">
        <v>63</v>
      </c>
      <c r="E314" s="40" t="s">
        <v>340</v>
      </c>
      <c r="F314" s="40" t="s">
        <v>265</v>
      </c>
      <c r="G314" s="29">
        <v>192.5</v>
      </c>
      <c r="I314" s="47">
        <f t="shared" si="312"/>
        <v>192.5</v>
      </c>
      <c r="K314" s="47">
        <f t="shared" si="312"/>
        <v>192.5</v>
      </c>
      <c r="M314" s="47">
        <f t="shared" ref="M314" si="317">K314+L314</f>
        <v>192.5</v>
      </c>
      <c r="O314" s="47">
        <f t="shared" ref="O314" si="318">M314+N314</f>
        <v>192.5</v>
      </c>
      <c r="P314" s="30"/>
      <c r="Q314" s="47">
        <f t="shared" ref="Q314" si="319">O314+P314</f>
        <v>192.5</v>
      </c>
      <c r="S314" s="47">
        <f t="shared" ref="S314" si="320">Q314+R314</f>
        <v>192.5</v>
      </c>
      <c r="V314" s="47">
        <f>S314+U314</f>
        <v>192.5</v>
      </c>
      <c r="X314" s="47">
        <f>V314+W314</f>
        <v>192.5</v>
      </c>
      <c r="Y314" s="30">
        <v>-192.5</v>
      </c>
      <c r="Z314" s="47">
        <f>X314+Y314</f>
        <v>0</v>
      </c>
      <c r="AA314" s="86">
        <v>0</v>
      </c>
      <c r="AB314" s="85">
        <v>0</v>
      </c>
    </row>
    <row r="315" spans="1:28" x14ac:dyDescent="0.25">
      <c r="A315" s="34" t="s">
        <v>67</v>
      </c>
      <c r="B315" s="35"/>
      <c r="C315" s="35" t="s">
        <v>68</v>
      </c>
      <c r="D315" s="35"/>
      <c r="E315" s="35"/>
      <c r="F315" s="35"/>
      <c r="G315" s="29"/>
      <c r="I315" s="48">
        <f>I316</f>
        <v>3745.6</v>
      </c>
      <c r="K315" s="48">
        <f>K316</f>
        <v>3745.6</v>
      </c>
      <c r="M315" s="48">
        <f>M316</f>
        <v>3745.6</v>
      </c>
      <c r="O315" s="48">
        <f>O316</f>
        <v>3745.6</v>
      </c>
      <c r="P315" s="30"/>
      <c r="Q315" s="48">
        <f>Q316</f>
        <v>3745.6</v>
      </c>
      <c r="S315" s="48">
        <f>S316</f>
        <v>3745.6</v>
      </c>
      <c r="V315" s="48">
        <f>V316</f>
        <v>3745.6</v>
      </c>
      <c r="X315" s="48">
        <f>X316</f>
        <v>3783.2999999999997</v>
      </c>
      <c r="Z315" s="48">
        <f t="shared" ref="Z315:AA317" si="321">Z316</f>
        <v>3783.2999999999997</v>
      </c>
      <c r="AA315" s="48">
        <f t="shared" si="321"/>
        <v>3783.3</v>
      </c>
      <c r="AB315" s="87">
        <f t="shared" si="270"/>
        <v>1.0000000000000002</v>
      </c>
    </row>
    <row r="316" spans="1:28" x14ac:dyDescent="0.25">
      <c r="A316" s="34" t="s">
        <v>90</v>
      </c>
      <c r="B316" s="35"/>
      <c r="C316" s="35" t="s">
        <v>68</v>
      </c>
      <c r="D316" s="35" t="s">
        <v>17</v>
      </c>
      <c r="E316" s="35"/>
      <c r="F316" s="35"/>
      <c r="G316" s="36">
        <f>G317</f>
        <v>0</v>
      </c>
      <c r="I316" s="48">
        <f>I317</f>
        <v>3745.6</v>
      </c>
      <c r="K316" s="48">
        <f>K317</f>
        <v>3745.6</v>
      </c>
      <c r="M316" s="48">
        <f>M317</f>
        <v>3745.6</v>
      </c>
      <c r="O316" s="48">
        <f>O317</f>
        <v>3745.6</v>
      </c>
      <c r="P316" s="30"/>
      <c r="Q316" s="48">
        <f>Q317</f>
        <v>3745.6</v>
      </c>
      <c r="S316" s="48">
        <f>S317</f>
        <v>3745.6</v>
      </c>
      <c r="V316" s="48">
        <f>V317</f>
        <v>3745.6</v>
      </c>
      <c r="X316" s="48">
        <f>X317</f>
        <v>3783.2999999999997</v>
      </c>
      <c r="Z316" s="48">
        <f t="shared" si="321"/>
        <v>3783.2999999999997</v>
      </c>
      <c r="AA316" s="48">
        <f t="shared" si="321"/>
        <v>3783.3</v>
      </c>
      <c r="AB316" s="87">
        <f t="shared" si="270"/>
        <v>1.0000000000000002</v>
      </c>
    </row>
    <row r="317" spans="1:28" ht="16.5" customHeight="1" x14ac:dyDescent="0.25">
      <c r="A317" s="19" t="s">
        <v>361</v>
      </c>
      <c r="B317" s="35"/>
      <c r="C317" s="40" t="s">
        <v>68</v>
      </c>
      <c r="D317" s="40" t="s">
        <v>17</v>
      </c>
      <c r="E317" s="40" t="s">
        <v>417</v>
      </c>
      <c r="F317" s="40"/>
      <c r="G317" s="29">
        <f>G318</f>
        <v>0</v>
      </c>
      <c r="I317" s="47">
        <f>I318</f>
        <v>3745.6</v>
      </c>
      <c r="K317" s="47">
        <f>K318</f>
        <v>3745.6</v>
      </c>
      <c r="M317" s="47">
        <f>M318</f>
        <v>3745.6</v>
      </c>
      <c r="O317" s="47">
        <f>O318</f>
        <v>3745.6</v>
      </c>
      <c r="P317" s="30"/>
      <c r="Q317" s="47">
        <f>Q318</f>
        <v>3745.6</v>
      </c>
      <c r="S317" s="47">
        <f>S318</f>
        <v>3745.6</v>
      </c>
      <c r="V317" s="47">
        <f>V318</f>
        <v>3745.6</v>
      </c>
      <c r="X317" s="47">
        <f>X318</f>
        <v>3783.2999999999997</v>
      </c>
      <c r="Z317" s="47">
        <f t="shared" si="321"/>
        <v>3783.2999999999997</v>
      </c>
      <c r="AA317" s="47">
        <f t="shared" si="321"/>
        <v>3783.3</v>
      </c>
      <c r="AB317" s="85">
        <f t="shared" si="270"/>
        <v>1.0000000000000002</v>
      </c>
    </row>
    <row r="318" spans="1:28" ht="30.75" customHeight="1" x14ac:dyDescent="0.25">
      <c r="A318" s="19" t="s">
        <v>263</v>
      </c>
      <c r="B318" s="35"/>
      <c r="C318" s="40" t="s">
        <v>68</v>
      </c>
      <c r="D318" s="40" t="s">
        <v>17</v>
      </c>
      <c r="E318" s="40" t="s">
        <v>417</v>
      </c>
      <c r="F318" s="40" t="s">
        <v>264</v>
      </c>
      <c r="G318" s="29"/>
      <c r="H318" s="52">
        <v>3745.6</v>
      </c>
      <c r="I318" s="47">
        <f t="shared" ref="I318:K318" si="322">G318+H318</f>
        <v>3745.6</v>
      </c>
      <c r="K318" s="47">
        <f t="shared" si="322"/>
        <v>3745.6</v>
      </c>
      <c r="M318" s="47">
        <f t="shared" ref="M318" si="323">K318+L318</f>
        <v>3745.6</v>
      </c>
      <c r="O318" s="47">
        <f t="shared" ref="O318" si="324">M318+N318</f>
        <v>3745.6</v>
      </c>
      <c r="P318" s="30"/>
      <c r="Q318" s="47">
        <f t="shared" ref="Q318" si="325">O318+P318</f>
        <v>3745.6</v>
      </c>
      <c r="S318" s="47">
        <f t="shared" ref="S318" si="326">Q318+R318</f>
        <v>3745.6</v>
      </c>
      <c r="V318" s="47">
        <f>S318+U318</f>
        <v>3745.6</v>
      </c>
      <c r="W318" s="30">
        <v>37.700000000000003</v>
      </c>
      <c r="X318" s="47">
        <f>V318+W318</f>
        <v>3783.2999999999997</v>
      </c>
      <c r="Z318" s="47">
        <f>X318+Y318</f>
        <v>3783.2999999999997</v>
      </c>
      <c r="AA318" s="86">
        <v>3783.3</v>
      </c>
      <c r="AB318" s="85">
        <f t="shared" si="270"/>
        <v>1.0000000000000002</v>
      </c>
    </row>
    <row r="319" spans="1:28" x14ac:dyDescent="0.25">
      <c r="A319" s="34" t="s">
        <v>251</v>
      </c>
      <c r="B319" s="35"/>
      <c r="C319" s="35" t="s">
        <v>109</v>
      </c>
      <c r="D319" s="35"/>
      <c r="E319" s="35"/>
      <c r="F319" s="35"/>
      <c r="G319" s="36">
        <f>G320</f>
        <v>3500</v>
      </c>
      <c r="I319" s="48">
        <f>I320</f>
        <v>3500</v>
      </c>
      <c r="K319" s="48">
        <f>K320</f>
        <v>3500</v>
      </c>
      <c r="M319" s="48">
        <f>M320</f>
        <v>3500</v>
      </c>
      <c r="O319" s="48">
        <f>O320</f>
        <v>3500</v>
      </c>
      <c r="P319" s="30"/>
      <c r="Q319" s="48">
        <f>Q320</f>
        <v>3500</v>
      </c>
      <c r="S319" s="48">
        <f>S320</f>
        <v>3500</v>
      </c>
      <c r="V319" s="48">
        <f>V320</f>
        <v>3500</v>
      </c>
      <c r="X319" s="48">
        <f>X320+X325</f>
        <v>3650</v>
      </c>
      <c r="Z319" s="48">
        <f>Z320+Z325</f>
        <v>3650</v>
      </c>
      <c r="AA319" s="48">
        <f>AA320+AA325</f>
        <v>3650</v>
      </c>
      <c r="AB319" s="87">
        <f t="shared" si="270"/>
        <v>1</v>
      </c>
    </row>
    <row r="320" spans="1:28" x14ac:dyDescent="0.25">
      <c r="A320" s="34" t="s">
        <v>207</v>
      </c>
      <c r="B320" s="35"/>
      <c r="C320" s="35" t="s">
        <v>109</v>
      </c>
      <c r="D320" s="35" t="s">
        <v>15</v>
      </c>
      <c r="E320" s="35"/>
      <c r="F320" s="35"/>
      <c r="G320" s="36">
        <f>G321</f>
        <v>3500</v>
      </c>
      <c r="I320" s="48">
        <f>I321</f>
        <v>3500</v>
      </c>
      <c r="K320" s="48">
        <f>K321</f>
        <v>3500</v>
      </c>
      <c r="M320" s="48">
        <f>M321</f>
        <v>3500</v>
      </c>
      <c r="O320" s="48">
        <f>O321</f>
        <v>3500</v>
      </c>
      <c r="P320" s="30"/>
      <c r="Q320" s="48">
        <f>Q321</f>
        <v>3500</v>
      </c>
      <c r="S320" s="48">
        <f>S321</f>
        <v>3500</v>
      </c>
      <c r="V320" s="48">
        <f>V321</f>
        <v>3500</v>
      </c>
      <c r="X320" s="48">
        <f>X321</f>
        <v>3500</v>
      </c>
      <c r="Z320" s="48">
        <f>Z321</f>
        <v>3500</v>
      </c>
      <c r="AA320" s="48">
        <f>AA321</f>
        <v>3500</v>
      </c>
      <c r="AB320" s="87">
        <f t="shared" si="270"/>
        <v>1</v>
      </c>
    </row>
    <row r="321" spans="1:28" x14ac:dyDescent="0.25">
      <c r="A321" s="41" t="s">
        <v>52</v>
      </c>
      <c r="B321" s="40"/>
      <c r="C321" s="40" t="s">
        <v>109</v>
      </c>
      <c r="D321" s="40" t="s">
        <v>15</v>
      </c>
      <c r="E321" s="40" t="s">
        <v>284</v>
      </c>
      <c r="F321" s="40"/>
      <c r="G321" s="29">
        <f>G322</f>
        <v>3500</v>
      </c>
      <c r="I321" s="47">
        <f>I322</f>
        <v>3500</v>
      </c>
      <c r="K321" s="47">
        <f>K322</f>
        <v>3500</v>
      </c>
      <c r="M321" s="47">
        <f>M322</f>
        <v>3500</v>
      </c>
      <c r="O321" s="47">
        <f>O322</f>
        <v>3500</v>
      </c>
      <c r="P321" s="30"/>
      <c r="Q321" s="47">
        <f>Q322</f>
        <v>3500</v>
      </c>
      <c r="S321" s="47">
        <f>S322</f>
        <v>3500</v>
      </c>
      <c r="V321" s="47">
        <f>V322</f>
        <v>3500</v>
      </c>
      <c r="X321" s="47">
        <f>X322</f>
        <v>3500</v>
      </c>
      <c r="Z321" s="47">
        <f>Z322</f>
        <v>3500</v>
      </c>
      <c r="AA321" s="47">
        <f>AA322</f>
        <v>3500</v>
      </c>
      <c r="AB321" s="85">
        <f t="shared" si="270"/>
        <v>1</v>
      </c>
    </row>
    <row r="322" spans="1:28" x14ac:dyDescent="0.25">
      <c r="A322" s="43" t="s">
        <v>273</v>
      </c>
      <c r="B322" s="40"/>
      <c r="C322" s="40" t="s">
        <v>109</v>
      </c>
      <c r="D322" s="40" t="s">
        <v>15</v>
      </c>
      <c r="E322" s="40" t="s">
        <v>284</v>
      </c>
      <c r="F322" s="40" t="s">
        <v>275</v>
      </c>
      <c r="G322" s="29">
        <f>G323+G324</f>
        <v>3500</v>
      </c>
      <c r="I322" s="47">
        <f>I323+I324</f>
        <v>3500</v>
      </c>
      <c r="K322" s="47">
        <f>K323+K324</f>
        <v>3500</v>
      </c>
      <c r="M322" s="47">
        <f>M323+M324</f>
        <v>3500</v>
      </c>
      <c r="O322" s="47">
        <f>O323+O324</f>
        <v>3500</v>
      </c>
      <c r="P322" s="30"/>
      <c r="Q322" s="47">
        <f>Q323+Q324</f>
        <v>3500</v>
      </c>
      <c r="S322" s="47">
        <f>S323+S324</f>
        <v>3500</v>
      </c>
      <c r="V322" s="47">
        <f>V323+V324</f>
        <v>3500</v>
      </c>
      <c r="X322" s="47">
        <f>X323+X324</f>
        <v>3500</v>
      </c>
      <c r="Z322" s="47">
        <f>Z323+Z324</f>
        <v>3500</v>
      </c>
      <c r="AA322" s="47">
        <f>AA323+AA324</f>
        <v>3500</v>
      </c>
      <c r="AB322" s="85">
        <f t="shared" si="270"/>
        <v>1</v>
      </c>
    </row>
    <row r="323" spans="1:28" ht="30" customHeight="1" x14ac:dyDescent="0.25">
      <c r="A323" s="19" t="s">
        <v>267</v>
      </c>
      <c r="B323" s="40"/>
      <c r="C323" s="40" t="s">
        <v>109</v>
      </c>
      <c r="D323" s="40" t="s">
        <v>15</v>
      </c>
      <c r="E323" s="40" t="s">
        <v>284</v>
      </c>
      <c r="F323" s="40" t="s">
        <v>268</v>
      </c>
      <c r="G323" s="29">
        <v>3500</v>
      </c>
      <c r="I323" s="47">
        <f t="shared" ref="I323:K324" si="327">G323+H323</f>
        <v>3500</v>
      </c>
      <c r="K323" s="47">
        <f t="shared" si="327"/>
        <v>3500</v>
      </c>
      <c r="M323" s="47">
        <f t="shared" ref="M323:M324" si="328">K323+L323</f>
        <v>3500</v>
      </c>
      <c r="O323" s="47">
        <f t="shared" ref="O323:O324" si="329">M323+N323</f>
        <v>3500</v>
      </c>
      <c r="P323" s="30"/>
      <c r="Q323" s="47">
        <f t="shared" ref="Q323:Q324" si="330">O323+P323</f>
        <v>3500</v>
      </c>
      <c r="S323" s="47">
        <f t="shared" ref="S323:S324" si="331">Q323+R323</f>
        <v>3500</v>
      </c>
      <c r="V323" s="47">
        <f>S323+U323</f>
        <v>3500</v>
      </c>
      <c r="X323" s="47">
        <f>V323+W323</f>
        <v>3500</v>
      </c>
      <c r="Z323" s="47">
        <f>X323+Y323</f>
        <v>3500</v>
      </c>
      <c r="AA323" s="86">
        <v>3500</v>
      </c>
      <c r="AB323" s="85">
        <f t="shared" si="270"/>
        <v>1</v>
      </c>
    </row>
    <row r="324" spans="1:28" hidden="1" x14ac:dyDescent="0.25">
      <c r="A324" s="19" t="s">
        <v>270</v>
      </c>
      <c r="B324" s="40"/>
      <c r="C324" s="40" t="s">
        <v>109</v>
      </c>
      <c r="D324" s="40" t="s">
        <v>15</v>
      </c>
      <c r="E324" s="40" t="s">
        <v>284</v>
      </c>
      <c r="F324" s="40" t="s">
        <v>269</v>
      </c>
      <c r="G324" s="29"/>
      <c r="I324" s="47">
        <f t="shared" si="327"/>
        <v>0</v>
      </c>
      <c r="K324" s="47">
        <f t="shared" si="327"/>
        <v>0</v>
      </c>
      <c r="M324" s="47">
        <f t="shared" si="328"/>
        <v>0</v>
      </c>
      <c r="O324" s="47">
        <f t="shared" si="329"/>
        <v>0</v>
      </c>
      <c r="P324" s="30"/>
      <c r="Q324" s="47">
        <f t="shared" si="330"/>
        <v>0</v>
      </c>
      <c r="S324" s="47">
        <f t="shared" si="331"/>
        <v>0</v>
      </c>
      <c r="V324" s="47">
        <f>S324+U324</f>
        <v>0</v>
      </c>
      <c r="X324" s="47">
        <f>V324+W324</f>
        <v>0</v>
      </c>
      <c r="Z324" s="47">
        <f>X324+Y324</f>
        <v>0</v>
      </c>
      <c r="AA324" s="86">
        <v>0</v>
      </c>
      <c r="AB324" s="85">
        <v>0</v>
      </c>
    </row>
    <row r="325" spans="1:28" x14ac:dyDescent="0.25">
      <c r="A325" s="42" t="s">
        <v>645</v>
      </c>
      <c r="B325" s="35"/>
      <c r="C325" s="35" t="s">
        <v>109</v>
      </c>
      <c r="D325" s="35" t="s">
        <v>17</v>
      </c>
      <c r="E325" s="35"/>
      <c r="F325" s="35"/>
      <c r="G325" s="36"/>
      <c r="H325" s="56"/>
      <c r="I325" s="48">
        <v>0</v>
      </c>
      <c r="J325" s="57"/>
      <c r="K325" s="48"/>
      <c r="L325" s="66"/>
      <c r="M325" s="48"/>
      <c r="N325" s="66"/>
      <c r="O325" s="48"/>
      <c r="P325" s="66"/>
      <c r="Q325" s="48"/>
      <c r="R325" s="66"/>
      <c r="S325" s="48"/>
      <c r="T325" s="83"/>
      <c r="U325" s="66"/>
      <c r="V325" s="48"/>
      <c r="W325" s="66"/>
      <c r="X325" s="48">
        <f>X326</f>
        <v>150</v>
      </c>
      <c r="Y325" s="66"/>
      <c r="Z325" s="48">
        <f>Z326</f>
        <v>150</v>
      </c>
      <c r="AA325" s="48">
        <f>AA326</f>
        <v>150</v>
      </c>
      <c r="AB325" s="87">
        <f t="shared" si="270"/>
        <v>1</v>
      </c>
    </row>
    <row r="326" spans="1:28" x14ac:dyDescent="0.25">
      <c r="A326" s="19" t="s">
        <v>646</v>
      </c>
      <c r="B326" s="40"/>
      <c r="C326" s="40" t="s">
        <v>109</v>
      </c>
      <c r="D326" s="40" t="s">
        <v>17</v>
      </c>
      <c r="E326" s="40" t="s">
        <v>635</v>
      </c>
      <c r="F326" s="40"/>
      <c r="G326" s="29"/>
      <c r="I326" s="47">
        <v>0</v>
      </c>
      <c r="K326" s="47"/>
      <c r="M326" s="47"/>
      <c r="O326" s="47"/>
      <c r="P326" s="30"/>
      <c r="Q326" s="47"/>
      <c r="S326" s="47"/>
      <c r="V326" s="47"/>
      <c r="X326" s="47">
        <f>X327</f>
        <v>150</v>
      </c>
      <c r="Z326" s="47">
        <f>Z327</f>
        <v>150</v>
      </c>
      <c r="AA326" s="47">
        <f>AA327</f>
        <v>150</v>
      </c>
      <c r="AB326" s="85">
        <f t="shared" si="270"/>
        <v>1</v>
      </c>
    </row>
    <row r="327" spans="1:28" x14ac:dyDescent="0.25">
      <c r="A327" s="19" t="s">
        <v>266</v>
      </c>
      <c r="B327" s="40"/>
      <c r="C327" s="40" t="s">
        <v>109</v>
      </c>
      <c r="D327" s="40" t="s">
        <v>17</v>
      </c>
      <c r="E327" s="40" t="s">
        <v>635</v>
      </c>
      <c r="F327" s="40" t="s">
        <v>265</v>
      </c>
      <c r="G327" s="29"/>
      <c r="I327" s="47">
        <v>0</v>
      </c>
      <c r="K327" s="47"/>
      <c r="M327" s="47"/>
      <c r="O327" s="47"/>
      <c r="P327" s="30"/>
      <c r="Q327" s="47"/>
      <c r="S327" s="47"/>
      <c r="V327" s="47"/>
      <c r="W327" s="30">
        <v>150</v>
      </c>
      <c r="X327" s="47">
        <f>V327+W327</f>
        <v>150</v>
      </c>
      <c r="Z327" s="47">
        <f>X327+Y327</f>
        <v>150</v>
      </c>
      <c r="AA327" s="86">
        <v>150</v>
      </c>
      <c r="AB327" s="85">
        <f t="shared" si="270"/>
        <v>1</v>
      </c>
    </row>
    <row r="328" spans="1:28" x14ac:dyDescent="0.25">
      <c r="A328" s="34" t="s">
        <v>201</v>
      </c>
      <c r="B328" s="35"/>
      <c r="C328" s="35" t="s">
        <v>27</v>
      </c>
      <c r="D328" s="35"/>
      <c r="E328" s="35"/>
      <c r="F328" s="35"/>
      <c r="G328" s="36">
        <f>G329</f>
        <v>640</v>
      </c>
      <c r="I328" s="48">
        <f>I329</f>
        <v>640</v>
      </c>
      <c r="K328" s="48">
        <f>K329</f>
        <v>841</v>
      </c>
      <c r="M328" s="48">
        <f>M329</f>
        <v>919.1</v>
      </c>
      <c r="O328" s="48">
        <f>O329</f>
        <v>994.1</v>
      </c>
      <c r="P328" s="30"/>
      <c r="Q328" s="48">
        <f>Q329</f>
        <v>994.1</v>
      </c>
      <c r="S328" s="48">
        <f>S329</f>
        <v>1189.3999999999999</v>
      </c>
      <c r="V328" s="48">
        <f>V329</f>
        <v>1189.3999999999999</v>
      </c>
      <c r="X328" s="48">
        <f>X329</f>
        <v>1189.3999999999999</v>
      </c>
      <c r="Z328" s="48">
        <f>Z329</f>
        <v>1189.3999999999999</v>
      </c>
      <c r="AA328" s="48">
        <f>AA329</f>
        <v>1189.3999999999999</v>
      </c>
      <c r="AB328" s="87">
        <f t="shared" si="270"/>
        <v>1</v>
      </c>
    </row>
    <row r="329" spans="1:28" x14ac:dyDescent="0.25">
      <c r="A329" s="34" t="s">
        <v>158</v>
      </c>
      <c r="B329" s="35"/>
      <c r="C329" s="35" t="s">
        <v>27</v>
      </c>
      <c r="D329" s="35" t="s">
        <v>17</v>
      </c>
      <c r="E329" s="35"/>
      <c r="F329" s="35"/>
      <c r="G329" s="36">
        <f>G332</f>
        <v>640</v>
      </c>
      <c r="I329" s="48">
        <f>I332</f>
        <v>640</v>
      </c>
      <c r="K329" s="48">
        <f>K332</f>
        <v>841</v>
      </c>
      <c r="M329" s="48">
        <f>M332+M330</f>
        <v>919.1</v>
      </c>
      <c r="O329" s="48">
        <f>O332+O330+O334</f>
        <v>994.1</v>
      </c>
      <c r="P329" s="30"/>
      <c r="Q329" s="48">
        <f>Q332+Q330+Q334</f>
        <v>994.1</v>
      </c>
      <c r="S329" s="48">
        <f>S332+S330+S334</f>
        <v>1189.3999999999999</v>
      </c>
      <c r="V329" s="48">
        <f>V332+V330+V334</f>
        <v>1189.3999999999999</v>
      </c>
      <c r="X329" s="48">
        <f>X332+X330+X334</f>
        <v>1189.3999999999999</v>
      </c>
      <c r="Z329" s="48">
        <f>Z332+Z330+Z334</f>
        <v>1189.3999999999999</v>
      </c>
      <c r="AA329" s="48">
        <f>AA332+AA330+AA334</f>
        <v>1189.3999999999999</v>
      </c>
      <c r="AB329" s="87">
        <f t="shared" si="270"/>
        <v>1</v>
      </c>
    </row>
    <row r="330" spans="1:28" x14ac:dyDescent="0.25">
      <c r="A330" s="41" t="s">
        <v>460</v>
      </c>
      <c r="B330" s="40"/>
      <c r="C330" s="40" t="s">
        <v>27</v>
      </c>
      <c r="D330" s="40" t="s">
        <v>17</v>
      </c>
      <c r="E330" s="40" t="s">
        <v>459</v>
      </c>
      <c r="F330" s="40"/>
      <c r="G330" s="29"/>
      <c r="I330" s="47">
        <v>0</v>
      </c>
      <c r="K330" s="47"/>
      <c r="M330" s="47">
        <f>M331</f>
        <v>78.099999999999994</v>
      </c>
      <c r="O330" s="47">
        <f>O331</f>
        <v>78.099999999999994</v>
      </c>
      <c r="P330" s="30"/>
      <c r="Q330" s="47">
        <f>Q331</f>
        <v>78.099999999999994</v>
      </c>
      <c r="S330" s="47">
        <f>S331</f>
        <v>78.099999999999994</v>
      </c>
      <c r="V330" s="47">
        <f>V331</f>
        <v>78.099999999999994</v>
      </c>
      <c r="X330" s="47">
        <f>X331</f>
        <v>78.099999999999994</v>
      </c>
      <c r="Z330" s="47">
        <f>Z331</f>
        <v>78.099999999999994</v>
      </c>
      <c r="AA330" s="47">
        <f>AA331</f>
        <v>78.099999999999994</v>
      </c>
      <c r="AB330" s="85">
        <f t="shared" si="270"/>
        <v>1</v>
      </c>
    </row>
    <row r="331" spans="1:28" ht="31.5" x14ac:dyDescent="0.25">
      <c r="A331" s="19" t="s">
        <v>296</v>
      </c>
      <c r="B331" s="40"/>
      <c r="C331" s="40" t="s">
        <v>27</v>
      </c>
      <c r="D331" s="40" t="s">
        <v>17</v>
      </c>
      <c r="E331" s="40" t="s">
        <v>459</v>
      </c>
      <c r="F331" s="40" t="s">
        <v>295</v>
      </c>
      <c r="G331" s="29"/>
      <c r="I331" s="47">
        <v>0</v>
      </c>
      <c r="K331" s="47"/>
      <c r="L331" s="30">
        <v>78.099999999999994</v>
      </c>
      <c r="M331" s="47">
        <f>L331+K331</f>
        <v>78.099999999999994</v>
      </c>
      <c r="O331" s="47">
        <f>N331+M331</f>
        <v>78.099999999999994</v>
      </c>
      <c r="P331" s="30"/>
      <c r="Q331" s="47">
        <f>P331+O331</f>
        <v>78.099999999999994</v>
      </c>
      <c r="S331" s="47">
        <f>R331+Q331</f>
        <v>78.099999999999994</v>
      </c>
      <c r="V331" s="47">
        <f>U331+S331</f>
        <v>78.099999999999994</v>
      </c>
      <c r="X331" s="47">
        <f>W331+V331</f>
        <v>78.099999999999994</v>
      </c>
      <c r="Z331" s="47">
        <f>Y331+X331</f>
        <v>78.099999999999994</v>
      </c>
      <c r="AA331" s="86">
        <v>78.099999999999994</v>
      </c>
      <c r="AB331" s="85">
        <f t="shared" si="270"/>
        <v>1</v>
      </c>
    </row>
    <row r="332" spans="1:28" x14ac:dyDescent="0.25">
      <c r="A332" s="45" t="s">
        <v>285</v>
      </c>
      <c r="B332" s="40"/>
      <c r="C332" s="40" t="s">
        <v>27</v>
      </c>
      <c r="D332" s="40" t="s">
        <v>17</v>
      </c>
      <c r="E332" s="40" t="s">
        <v>286</v>
      </c>
      <c r="F332" s="40"/>
      <c r="G332" s="29">
        <f>G333</f>
        <v>640</v>
      </c>
      <c r="I332" s="47">
        <f>I333</f>
        <v>640</v>
      </c>
      <c r="K332" s="47">
        <f>K333</f>
        <v>841</v>
      </c>
      <c r="M332" s="47">
        <f>M333</f>
        <v>841</v>
      </c>
      <c r="O332" s="47">
        <f>O333</f>
        <v>866</v>
      </c>
      <c r="P332" s="30"/>
      <c r="Q332" s="47">
        <f>Q333</f>
        <v>866</v>
      </c>
      <c r="S332" s="47">
        <f>S333</f>
        <v>1061.3</v>
      </c>
      <c r="V332" s="47">
        <f>V333</f>
        <v>1061.3</v>
      </c>
      <c r="X332" s="47">
        <f>X333</f>
        <v>1061.3</v>
      </c>
      <c r="Z332" s="47">
        <f>Z333</f>
        <v>1061.3</v>
      </c>
      <c r="AA332" s="47">
        <f>AA333</f>
        <v>1061.3</v>
      </c>
      <c r="AB332" s="85">
        <f t="shared" si="270"/>
        <v>1</v>
      </c>
    </row>
    <row r="333" spans="1:28" ht="29.25" customHeight="1" x14ac:dyDescent="0.25">
      <c r="A333" s="19" t="s">
        <v>296</v>
      </c>
      <c r="B333" s="40"/>
      <c r="C333" s="40" t="s">
        <v>27</v>
      </c>
      <c r="D333" s="40" t="s">
        <v>17</v>
      </c>
      <c r="E333" s="40" t="s">
        <v>286</v>
      </c>
      <c r="F333" s="40" t="s">
        <v>295</v>
      </c>
      <c r="G333" s="29">
        <v>640</v>
      </c>
      <c r="I333" s="47">
        <f t="shared" ref="I333:K333" si="332">G333+H333</f>
        <v>640</v>
      </c>
      <c r="J333" s="28">
        <f>106+95</f>
        <v>201</v>
      </c>
      <c r="K333" s="47">
        <f t="shared" si="332"/>
        <v>841</v>
      </c>
      <c r="M333" s="47">
        <f t="shared" ref="M333" si="333">K333+L333</f>
        <v>841</v>
      </c>
      <c r="N333" s="30">
        <v>25</v>
      </c>
      <c r="O333" s="47">
        <f t="shared" ref="O333:O335" si="334">M333+N333</f>
        <v>866</v>
      </c>
      <c r="P333" s="30"/>
      <c r="Q333" s="47">
        <f t="shared" ref="Q333" si="335">O333+P333</f>
        <v>866</v>
      </c>
      <c r="R333" s="30">
        <v>195.3</v>
      </c>
      <c r="S333" s="47">
        <f t="shared" ref="S333" si="336">Q333+R333</f>
        <v>1061.3</v>
      </c>
      <c r="T333" s="70">
        <v>195.3</v>
      </c>
      <c r="V333" s="47">
        <f>S333+U333</f>
        <v>1061.3</v>
      </c>
      <c r="X333" s="47">
        <f>V333+W333</f>
        <v>1061.3</v>
      </c>
      <c r="Z333" s="47">
        <f>X333+Y333</f>
        <v>1061.3</v>
      </c>
      <c r="AA333" s="86">
        <v>1061.3</v>
      </c>
      <c r="AB333" s="85">
        <f t="shared" ref="AB333:AB396" si="337">AA333/Z333</f>
        <v>1</v>
      </c>
    </row>
    <row r="334" spans="1:28" ht="29.25" customHeight="1" x14ac:dyDescent="0.25">
      <c r="A334" s="19" t="s">
        <v>526</v>
      </c>
      <c r="B334" s="40"/>
      <c r="C334" s="40" t="s">
        <v>27</v>
      </c>
      <c r="D334" s="40" t="s">
        <v>17</v>
      </c>
      <c r="E334" s="40" t="s">
        <v>525</v>
      </c>
      <c r="F334" s="40"/>
      <c r="G334" s="29"/>
      <c r="I334" s="47">
        <v>0</v>
      </c>
      <c r="K334" s="47"/>
      <c r="M334" s="47"/>
      <c r="O334" s="47">
        <f>O335</f>
        <v>50</v>
      </c>
      <c r="P334" s="30"/>
      <c r="Q334" s="47">
        <f>Q335</f>
        <v>50</v>
      </c>
      <c r="S334" s="47">
        <f>S335</f>
        <v>50</v>
      </c>
      <c r="V334" s="47">
        <f>V335</f>
        <v>50</v>
      </c>
      <c r="X334" s="47">
        <f>X335</f>
        <v>50</v>
      </c>
      <c r="Z334" s="47">
        <f>Z335</f>
        <v>50</v>
      </c>
      <c r="AA334" s="47">
        <f>AA335</f>
        <v>50</v>
      </c>
      <c r="AB334" s="85">
        <f t="shared" si="337"/>
        <v>1</v>
      </c>
    </row>
    <row r="335" spans="1:28" ht="29.25" customHeight="1" x14ac:dyDescent="0.25">
      <c r="A335" s="19" t="s">
        <v>296</v>
      </c>
      <c r="B335" s="40"/>
      <c r="C335" s="40" t="s">
        <v>27</v>
      </c>
      <c r="D335" s="40" t="s">
        <v>17</v>
      </c>
      <c r="E335" s="40" t="s">
        <v>525</v>
      </c>
      <c r="F335" s="40" t="s">
        <v>295</v>
      </c>
      <c r="G335" s="29"/>
      <c r="I335" s="47">
        <v>0</v>
      </c>
      <c r="K335" s="47"/>
      <c r="M335" s="47"/>
      <c r="N335" s="30">
        <v>50</v>
      </c>
      <c r="O335" s="47">
        <f t="shared" si="334"/>
        <v>50</v>
      </c>
      <c r="P335" s="30"/>
      <c r="Q335" s="47">
        <f t="shared" ref="Q335" si="338">O335+P335</f>
        <v>50</v>
      </c>
      <c r="S335" s="47">
        <f t="shared" ref="S335" si="339">Q335+R335</f>
        <v>50</v>
      </c>
      <c r="V335" s="47">
        <f>S335+U335</f>
        <v>50</v>
      </c>
      <c r="X335" s="47">
        <f>V335+W335</f>
        <v>50</v>
      </c>
      <c r="Z335" s="47">
        <f>X335+Y335</f>
        <v>50</v>
      </c>
      <c r="AA335" s="86">
        <v>50</v>
      </c>
      <c r="AB335" s="85">
        <f t="shared" si="337"/>
        <v>1</v>
      </c>
    </row>
    <row r="336" spans="1:28" ht="15.75" customHeight="1" x14ac:dyDescent="0.25">
      <c r="A336" s="49" t="s">
        <v>196</v>
      </c>
      <c r="B336" s="35"/>
      <c r="C336" s="35" t="s">
        <v>195</v>
      </c>
      <c r="D336" s="35"/>
      <c r="E336" s="35"/>
      <c r="F336" s="35"/>
      <c r="G336" s="36">
        <f>G337</f>
        <v>4008</v>
      </c>
      <c r="I336" s="48">
        <f>I337</f>
        <v>4008</v>
      </c>
      <c r="K336" s="48">
        <f>K337</f>
        <v>4008</v>
      </c>
      <c r="M336" s="48">
        <f>M337</f>
        <v>3629.8</v>
      </c>
      <c r="O336" s="48">
        <f>O337</f>
        <v>3348.2200000000003</v>
      </c>
      <c r="P336" s="30"/>
      <c r="Q336" s="48">
        <f>Q337</f>
        <v>3348.2200000000003</v>
      </c>
      <c r="S336" s="48">
        <f>S337</f>
        <v>1558.2200000000003</v>
      </c>
      <c r="V336" s="48">
        <f>V337</f>
        <v>1558.2200000000003</v>
      </c>
      <c r="X336" s="48">
        <f>X337</f>
        <v>1558.2200000000003</v>
      </c>
      <c r="Z336" s="48">
        <f t="shared" ref="Z336:AA338" si="340">Z337</f>
        <v>1558.2200000000003</v>
      </c>
      <c r="AA336" s="48">
        <f t="shared" si="340"/>
        <v>1484.5</v>
      </c>
      <c r="AB336" s="87">
        <f t="shared" si="337"/>
        <v>0.95268960737251462</v>
      </c>
    </row>
    <row r="337" spans="1:28" ht="14.25" customHeight="1" x14ac:dyDescent="0.25">
      <c r="A337" s="42" t="s">
        <v>288</v>
      </c>
      <c r="B337" s="35"/>
      <c r="C337" s="35" t="s">
        <v>195</v>
      </c>
      <c r="D337" s="35" t="s">
        <v>15</v>
      </c>
      <c r="E337" s="35"/>
      <c r="F337" s="35"/>
      <c r="G337" s="36">
        <f>G338</f>
        <v>4008</v>
      </c>
      <c r="H337" s="58"/>
      <c r="I337" s="48">
        <f>I338</f>
        <v>4008</v>
      </c>
      <c r="J337" s="30"/>
      <c r="K337" s="48">
        <f>K338</f>
        <v>4008</v>
      </c>
      <c r="M337" s="48">
        <f>M338</f>
        <v>3629.8</v>
      </c>
      <c r="O337" s="48">
        <f>O338</f>
        <v>3348.2200000000003</v>
      </c>
      <c r="P337" s="30"/>
      <c r="Q337" s="48">
        <f>Q338</f>
        <v>3348.2200000000003</v>
      </c>
      <c r="S337" s="48">
        <f>S338</f>
        <v>1558.2200000000003</v>
      </c>
      <c r="V337" s="48">
        <f>V338</f>
        <v>1558.2200000000003</v>
      </c>
      <c r="X337" s="48">
        <f>X338</f>
        <v>1558.2200000000003</v>
      </c>
      <c r="Z337" s="48">
        <f t="shared" si="340"/>
        <v>1558.2200000000003</v>
      </c>
      <c r="AA337" s="48">
        <f t="shared" si="340"/>
        <v>1484.5</v>
      </c>
      <c r="AB337" s="87">
        <f t="shared" si="337"/>
        <v>0.95268960737251462</v>
      </c>
    </row>
    <row r="338" spans="1:28" x14ac:dyDescent="0.25">
      <c r="A338" s="41" t="s">
        <v>111</v>
      </c>
      <c r="B338" s="40"/>
      <c r="C338" s="40" t="s">
        <v>195</v>
      </c>
      <c r="D338" s="40" t="s">
        <v>15</v>
      </c>
      <c r="E338" s="40" t="s">
        <v>287</v>
      </c>
      <c r="F338" s="40"/>
      <c r="G338" s="29">
        <f>G339</f>
        <v>4008</v>
      </c>
      <c r="H338" s="58"/>
      <c r="I338" s="47">
        <f>I339</f>
        <v>4008</v>
      </c>
      <c r="J338" s="30"/>
      <c r="K338" s="47">
        <f>K339</f>
        <v>4008</v>
      </c>
      <c r="M338" s="47">
        <f>M339</f>
        <v>3629.8</v>
      </c>
      <c r="O338" s="47">
        <f>O339</f>
        <v>3348.2200000000003</v>
      </c>
      <c r="P338" s="30"/>
      <c r="Q338" s="47">
        <f>Q339</f>
        <v>3348.2200000000003</v>
      </c>
      <c r="S338" s="47">
        <f>S339</f>
        <v>1558.2200000000003</v>
      </c>
      <c r="V338" s="47">
        <f>V339</f>
        <v>1558.2200000000003</v>
      </c>
      <c r="X338" s="47">
        <f>X339</f>
        <v>1558.2200000000003</v>
      </c>
      <c r="Z338" s="47">
        <f t="shared" si="340"/>
        <v>1558.2200000000003</v>
      </c>
      <c r="AA338" s="47">
        <f t="shared" si="340"/>
        <v>1484.5</v>
      </c>
      <c r="AB338" s="85">
        <f t="shared" si="337"/>
        <v>0.95268960737251462</v>
      </c>
    </row>
    <row r="339" spans="1:28" x14ac:dyDescent="0.25">
      <c r="A339" s="41" t="s">
        <v>289</v>
      </c>
      <c r="B339" s="40"/>
      <c r="C339" s="40" t="s">
        <v>195</v>
      </c>
      <c r="D339" s="40" t="s">
        <v>15</v>
      </c>
      <c r="E339" s="40" t="s">
        <v>287</v>
      </c>
      <c r="F339" s="40" t="s">
        <v>290</v>
      </c>
      <c r="G339" s="29">
        <v>4008</v>
      </c>
      <c r="H339" s="58"/>
      <c r="I339" s="47">
        <f t="shared" ref="I339:K339" si="341">G339+H339</f>
        <v>4008</v>
      </c>
      <c r="J339" s="30"/>
      <c r="K339" s="47">
        <f t="shared" si="341"/>
        <v>4008</v>
      </c>
      <c r="L339" s="30">
        <v>-378.2</v>
      </c>
      <c r="M339" s="47">
        <f t="shared" ref="M339" si="342">K339+L339</f>
        <v>3629.8</v>
      </c>
      <c r="N339" s="30">
        <f>-180-132.66-215.19+26.19+220.08</f>
        <v>-281.57999999999993</v>
      </c>
      <c r="O339" s="47">
        <f t="shared" ref="O339" si="343">M339+N339</f>
        <v>3348.2200000000003</v>
      </c>
      <c r="P339" s="30"/>
      <c r="Q339" s="47">
        <f t="shared" ref="Q339" si="344">O339+P339</f>
        <v>3348.2200000000003</v>
      </c>
      <c r="R339" s="30">
        <v>-1790</v>
      </c>
      <c r="S339" s="47">
        <f t="shared" ref="S339" si="345">Q339+R339</f>
        <v>1558.2200000000003</v>
      </c>
      <c r="T339" s="70">
        <v>-1790</v>
      </c>
      <c r="V339" s="47">
        <f>S339+U339</f>
        <v>1558.2200000000003</v>
      </c>
      <c r="X339" s="47">
        <f>V339+W339</f>
        <v>1558.2200000000003</v>
      </c>
      <c r="Z339" s="47">
        <f>X339+Y339</f>
        <v>1558.2200000000003</v>
      </c>
      <c r="AA339" s="86">
        <v>1484.5</v>
      </c>
      <c r="AB339" s="85">
        <f t="shared" si="337"/>
        <v>0.95268960737251462</v>
      </c>
    </row>
    <row r="340" spans="1:28" ht="31.5" customHeight="1" x14ac:dyDescent="0.25">
      <c r="A340" s="49" t="s">
        <v>198</v>
      </c>
      <c r="B340" s="35"/>
      <c r="C340" s="35" t="s">
        <v>30</v>
      </c>
      <c r="D340" s="35"/>
      <c r="E340" s="35"/>
      <c r="F340" s="35"/>
      <c r="G340" s="36">
        <f>G341</f>
        <v>17324.3</v>
      </c>
      <c r="I340" s="48">
        <f>I341+I344</f>
        <v>18061.099999999999</v>
      </c>
      <c r="K340" s="48">
        <f>K341+K344+K346</f>
        <v>18437.099999999999</v>
      </c>
      <c r="M340" s="48">
        <f>M341+M344+M346</f>
        <v>18815.3</v>
      </c>
      <c r="O340" s="48">
        <f>O341+O344+O346</f>
        <v>20136</v>
      </c>
      <c r="P340" s="30"/>
      <c r="Q340" s="48">
        <f>Q341+Q344+Q346</f>
        <v>20136</v>
      </c>
      <c r="S340" s="48">
        <f>S341+S344+S346</f>
        <v>20136</v>
      </c>
      <c r="V340" s="48">
        <f>V341+V344+V346</f>
        <v>22536</v>
      </c>
      <c r="X340" s="48">
        <f>X341+X344+X346</f>
        <v>23187.199999999997</v>
      </c>
      <c r="Z340" s="48">
        <f>Z341+Z344+Z346</f>
        <v>23787.199999999997</v>
      </c>
      <c r="AA340" s="48">
        <f>AA341+AA344+AA346</f>
        <v>23764</v>
      </c>
      <c r="AB340" s="87">
        <f t="shared" si="337"/>
        <v>0.99902468554516732</v>
      </c>
    </row>
    <row r="341" spans="1:28" ht="30" customHeight="1" x14ac:dyDescent="0.25">
      <c r="A341" s="19" t="s">
        <v>199</v>
      </c>
      <c r="B341" s="40"/>
      <c r="C341" s="40" t="s">
        <v>30</v>
      </c>
      <c r="D341" s="40" t="s">
        <v>15</v>
      </c>
      <c r="E341" s="40"/>
      <c r="F341" s="40"/>
      <c r="G341" s="29">
        <f>G342</f>
        <v>17324.3</v>
      </c>
      <c r="I341" s="47">
        <f>I342</f>
        <v>16461.099999999999</v>
      </c>
      <c r="K341" s="47">
        <f>K342</f>
        <v>16461.099999999999</v>
      </c>
      <c r="M341" s="47">
        <f>M342</f>
        <v>16461.099999999999</v>
      </c>
      <c r="O341" s="47">
        <f>O342</f>
        <v>16461.099999999999</v>
      </c>
      <c r="P341" s="30"/>
      <c r="Q341" s="47">
        <f>Q342</f>
        <v>16461.099999999999</v>
      </c>
      <c r="S341" s="47">
        <f>S342</f>
        <v>16461.099999999999</v>
      </c>
      <c r="V341" s="47">
        <f>V342</f>
        <v>16461.099999999999</v>
      </c>
      <c r="X341" s="47">
        <f>X342</f>
        <v>16461.099999999999</v>
      </c>
      <c r="Z341" s="47">
        <f>Z342</f>
        <v>16461.099999999999</v>
      </c>
      <c r="AA341" s="47">
        <f>AA342</f>
        <v>16461.099999999999</v>
      </c>
      <c r="AB341" s="85">
        <f t="shared" si="337"/>
        <v>1</v>
      </c>
    </row>
    <row r="342" spans="1:28" ht="15.75" customHeight="1" x14ac:dyDescent="0.25">
      <c r="A342" s="19" t="s">
        <v>292</v>
      </c>
      <c r="B342" s="40"/>
      <c r="C342" s="40" t="s">
        <v>30</v>
      </c>
      <c r="D342" s="40" t="s">
        <v>15</v>
      </c>
      <c r="E342" s="40" t="s">
        <v>291</v>
      </c>
      <c r="F342" s="40"/>
      <c r="G342" s="29">
        <f>G343</f>
        <v>17324.3</v>
      </c>
      <c r="I342" s="47">
        <f>I343</f>
        <v>16461.099999999999</v>
      </c>
      <c r="K342" s="47">
        <f>K343</f>
        <v>16461.099999999999</v>
      </c>
      <c r="M342" s="47">
        <f>M343</f>
        <v>16461.099999999999</v>
      </c>
      <c r="O342" s="47">
        <f>O343</f>
        <v>16461.099999999999</v>
      </c>
      <c r="P342" s="30"/>
      <c r="Q342" s="47">
        <f>Q343</f>
        <v>16461.099999999999</v>
      </c>
      <c r="S342" s="47">
        <f>S343</f>
        <v>16461.099999999999</v>
      </c>
      <c r="V342" s="47">
        <f>V343</f>
        <v>16461.099999999999</v>
      </c>
      <c r="X342" s="47">
        <f>X343</f>
        <v>16461.099999999999</v>
      </c>
      <c r="Z342" s="47">
        <f>Z343</f>
        <v>16461.099999999999</v>
      </c>
      <c r="AA342" s="47">
        <f>AA343</f>
        <v>16461.099999999999</v>
      </c>
      <c r="AB342" s="85">
        <f t="shared" si="337"/>
        <v>1</v>
      </c>
    </row>
    <row r="343" spans="1:28" x14ac:dyDescent="0.25">
      <c r="A343" s="41" t="s">
        <v>294</v>
      </c>
      <c r="B343" s="40"/>
      <c r="C343" s="40" t="s">
        <v>30</v>
      </c>
      <c r="D343" s="40" t="s">
        <v>15</v>
      </c>
      <c r="E343" s="40" t="s">
        <v>291</v>
      </c>
      <c r="F343" s="40" t="s">
        <v>293</v>
      </c>
      <c r="G343" s="29">
        <v>17324.3</v>
      </c>
      <c r="H343" s="52">
        <v>-863.2</v>
      </c>
      <c r="I343" s="47">
        <f t="shared" ref="I343:K345" si="346">G343+H343</f>
        <v>16461.099999999999</v>
      </c>
      <c r="K343" s="47">
        <f t="shared" si="346"/>
        <v>16461.099999999999</v>
      </c>
      <c r="M343" s="47">
        <f t="shared" ref="M343" si="347">K343+L343</f>
        <v>16461.099999999999</v>
      </c>
      <c r="O343" s="47">
        <f t="shared" ref="O343" si="348">M343+N343</f>
        <v>16461.099999999999</v>
      </c>
      <c r="P343" s="30"/>
      <c r="Q343" s="47">
        <f t="shared" ref="Q343" si="349">O343+P343</f>
        <v>16461.099999999999</v>
      </c>
      <c r="S343" s="47">
        <f t="shared" ref="S343" si="350">Q343+R343</f>
        <v>16461.099999999999</v>
      </c>
      <c r="V343" s="47">
        <f>S343+U343</f>
        <v>16461.099999999999</v>
      </c>
      <c r="X343" s="47">
        <f>V343+W343</f>
        <v>16461.099999999999</v>
      </c>
      <c r="Z343" s="47">
        <f>X343+Y343</f>
        <v>16461.099999999999</v>
      </c>
      <c r="AA343" s="86">
        <v>16461.099999999999</v>
      </c>
      <c r="AB343" s="85">
        <f t="shared" si="337"/>
        <v>1</v>
      </c>
    </row>
    <row r="344" spans="1:28" x14ac:dyDescent="0.25">
      <c r="A344" s="41" t="s">
        <v>200</v>
      </c>
      <c r="B344" s="40"/>
      <c r="C344" s="40" t="s">
        <v>30</v>
      </c>
      <c r="D344" s="40" t="s">
        <v>17</v>
      </c>
      <c r="E344" s="40"/>
      <c r="F344" s="40"/>
      <c r="G344" s="29"/>
      <c r="I344" s="47">
        <f>I345</f>
        <v>1600</v>
      </c>
      <c r="K344" s="47">
        <f>K345</f>
        <v>1600</v>
      </c>
      <c r="M344" s="47">
        <f>M345</f>
        <v>1600</v>
      </c>
      <c r="O344" s="47">
        <f>O345</f>
        <v>1600</v>
      </c>
      <c r="P344" s="30"/>
      <c r="Q344" s="47">
        <f>Q345</f>
        <v>1600</v>
      </c>
      <c r="S344" s="47">
        <f>S345</f>
        <v>1600</v>
      </c>
      <c r="V344" s="47">
        <f>V345</f>
        <v>1600</v>
      </c>
      <c r="X344" s="47">
        <f>X345</f>
        <v>1600</v>
      </c>
      <c r="Z344" s="47">
        <f>Z345</f>
        <v>2200</v>
      </c>
      <c r="AA344" s="47">
        <f>AA345</f>
        <v>2200</v>
      </c>
      <c r="AB344" s="85">
        <f t="shared" si="337"/>
        <v>1</v>
      </c>
    </row>
    <row r="345" spans="1:28" x14ac:dyDescent="0.25">
      <c r="A345" s="41" t="s">
        <v>379</v>
      </c>
      <c r="B345" s="40"/>
      <c r="C345" s="40" t="s">
        <v>30</v>
      </c>
      <c r="D345" s="40" t="s">
        <v>17</v>
      </c>
      <c r="E345" s="40" t="s">
        <v>380</v>
      </c>
      <c r="F345" s="40" t="s">
        <v>381</v>
      </c>
      <c r="G345" s="29"/>
      <c r="H345" s="52">
        <v>1600</v>
      </c>
      <c r="I345" s="47">
        <f t="shared" si="346"/>
        <v>1600</v>
      </c>
      <c r="K345" s="47">
        <f t="shared" si="346"/>
        <v>1600</v>
      </c>
      <c r="M345" s="47">
        <f t="shared" ref="M345" si="351">K345+L345</f>
        <v>1600</v>
      </c>
      <c r="O345" s="47">
        <f t="shared" ref="O345" si="352">M345+N345</f>
        <v>1600</v>
      </c>
      <c r="P345" s="30"/>
      <c r="Q345" s="47">
        <f t="shared" ref="Q345" si="353">O345+P345</f>
        <v>1600</v>
      </c>
      <c r="S345" s="47">
        <f t="shared" ref="S345" si="354">Q345+R345</f>
        <v>1600</v>
      </c>
      <c r="V345" s="47">
        <f>S345+U345</f>
        <v>1600</v>
      </c>
      <c r="X345" s="47">
        <f>V345+W345</f>
        <v>1600</v>
      </c>
      <c r="Y345" s="30">
        <v>600</v>
      </c>
      <c r="Z345" s="47">
        <f>X345+Y345</f>
        <v>2200</v>
      </c>
      <c r="AA345" s="86">
        <v>2200</v>
      </c>
      <c r="AB345" s="85">
        <f t="shared" si="337"/>
        <v>1</v>
      </c>
    </row>
    <row r="346" spans="1:28" x14ac:dyDescent="0.25">
      <c r="A346" s="41" t="s">
        <v>418</v>
      </c>
      <c r="B346" s="40"/>
      <c r="C346" s="40" t="s">
        <v>30</v>
      </c>
      <c r="D346" s="40" t="s">
        <v>20</v>
      </c>
      <c r="E346" s="40"/>
      <c r="F346" s="40"/>
      <c r="G346" s="29"/>
      <c r="I346" s="47">
        <v>0</v>
      </c>
      <c r="K346" s="47">
        <f>K349</f>
        <v>376</v>
      </c>
      <c r="M346" s="47">
        <f>M349+M351</f>
        <v>754.2</v>
      </c>
      <c r="O346" s="47">
        <f>O349+O351+O347</f>
        <v>2074.9</v>
      </c>
      <c r="P346" s="30"/>
      <c r="Q346" s="47">
        <f>Q349+Q351+Q347</f>
        <v>2074.9</v>
      </c>
      <c r="S346" s="47">
        <f>S349+S351+S347</f>
        <v>2074.9</v>
      </c>
      <c r="V346" s="47">
        <f>V349+V351+V347</f>
        <v>4474.8999999999996</v>
      </c>
      <c r="X346" s="47">
        <f>X349+X351+X347</f>
        <v>5126.1000000000004</v>
      </c>
      <c r="Z346" s="47">
        <f>Z349+Z351+Z347</f>
        <v>5126.1000000000004</v>
      </c>
      <c r="AA346" s="47">
        <f>AA349+AA351+AA347</f>
        <v>5102.8999999999996</v>
      </c>
      <c r="AB346" s="85">
        <f t="shared" si="337"/>
        <v>0.99547414213534646</v>
      </c>
    </row>
    <row r="347" spans="1:28" ht="31.5" x14ac:dyDescent="0.25">
      <c r="A347" s="19" t="s">
        <v>526</v>
      </c>
      <c r="B347" s="40"/>
      <c r="C347" s="40" t="s">
        <v>30</v>
      </c>
      <c r="D347" s="40" t="s">
        <v>20</v>
      </c>
      <c r="E347" s="40" t="s">
        <v>525</v>
      </c>
      <c r="F347" s="40"/>
      <c r="G347" s="29"/>
      <c r="I347" s="47">
        <v>0</v>
      </c>
      <c r="K347" s="47"/>
      <c r="M347" s="47"/>
      <c r="O347" s="47">
        <f>O348</f>
        <v>921</v>
      </c>
      <c r="P347" s="30"/>
      <c r="Q347" s="47">
        <f>Q348</f>
        <v>921</v>
      </c>
      <c r="S347" s="47">
        <f>S348</f>
        <v>921</v>
      </c>
      <c r="V347" s="47">
        <f>V348</f>
        <v>921</v>
      </c>
      <c r="X347" s="47">
        <f>X348</f>
        <v>921</v>
      </c>
      <c r="Z347" s="47">
        <f>Z348</f>
        <v>921</v>
      </c>
      <c r="AA347" s="47">
        <f>AA348</f>
        <v>921</v>
      </c>
      <c r="AB347" s="85">
        <f t="shared" si="337"/>
        <v>1</v>
      </c>
    </row>
    <row r="348" spans="1:28" x14ac:dyDescent="0.25">
      <c r="A348" s="41" t="s">
        <v>422</v>
      </c>
      <c r="B348" s="40"/>
      <c r="C348" s="40" t="s">
        <v>30</v>
      </c>
      <c r="D348" s="40" t="s">
        <v>20</v>
      </c>
      <c r="E348" s="40" t="s">
        <v>525</v>
      </c>
      <c r="F348" s="40" t="s">
        <v>420</v>
      </c>
      <c r="G348" s="29"/>
      <c r="I348" s="47">
        <v>0</v>
      </c>
      <c r="K348" s="47"/>
      <c r="M348" s="47"/>
      <c r="N348" s="30">
        <v>921</v>
      </c>
      <c r="O348" s="47">
        <f t="shared" ref="O348" si="355">M348+N348</f>
        <v>921</v>
      </c>
      <c r="P348" s="30"/>
      <c r="Q348" s="47">
        <f t="shared" ref="Q348" si="356">O348+P348</f>
        <v>921</v>
      </c>
      <c r="S348" s="47">
        <f t="shared" ref="S348" si="357">Q348+R348</f>
        <v>921</v>
      </c>
      <c r="V348" s="47">
        <f>S348+U348</f>
        <v>921</v>
      </c>
      <c r="X348" s="47">
        <f>V348+W348</f>
        <v>921</v>
      </c>
      <c r="Z348" s="47">
        <f>X348+Y348</f>
        <v>921</v>
      </c>
      <c r="AA348" s="86">
        <v>921</v>
      </c>
      <c r="AB348" s="85">
        <f t="shared" si="337"/>
        <v>1</v>
      </c>
    </row>
    <row r="349" spans="1:28" ht="31.5" x14ac:dyDescent="0.25">
      <c r="A349" s="45" t="s">
        <v>421</v>
      </c>
      <c r="B349" s="40"/>
      <c r="C349" s="40" t="s">
        <v>30</v>
      </c>
      <c r="D349" s="40" t="s">
        <v>20</v>
      </c>
      <c r="E349" s="40" t="s">
        <v>419</v>
      </c>
      <c r="F349" s="40"/>
      <c r="G349" s="29"/>
      <c r="I349" s="47">
        <v>0</v>
      </c>
      <c r="K349" s="47">
        <f>K350</f>
        <v>376</v>
      </c>
      <c r="M349" s="47">
        <f>M350</f>
        <v>376</v>
      </c>
      <c r="O349" s="47">
        <f>O350</f>
        <v>376</v>
      </c>
      <c r="P349" s="30"/>
      <c r="Q349" s="47">
        <f>Q350</f>
        <v>376</v>
      </c>
      <c r="S349" s="47">
        <f>S350</f>
        <v>376</v>
      </c>
      <c r="V349" s="47">
        <f>V350</f>
        <v>376</v>
      </c>
      <c r="X349" s="47">
        <f>X350</f>
        <v>376</v>
      </c>
      <c r="Z349" s="47">
        <f>Z350</f>
        <v>376</v>
      </c>
      <c r="AA349" s="47">
        <f>AA350</f>
        <v>376</v>
      </c>
      <c r="AB349" s="85">
        <f t="shared" si="337"/>
        <v>1</v>
      </c>
    </row>
    <row r="350" spans="1:28" x14ac:dyDescent="0.25">
      <c r="A350" s="41" t="s">
        <v>422</v>
      </c>
      <c r="B350" s="40"/>
      <c r="C350" s="40" t="s">
        <v>30</v>
      </c>
      <c r="D350" s="40" t="s">
        <v>20</v>
      </c>
      <c r="E350" s="40" t="s">
        <v>419</v>
      </c>
      <c r="F350" s="40" t="s">
        <v>420</v>
      </c>
      <c r="G350" s="29"/>
      <c r="I350" s="47">
        <v>0</v>
      </c>
      <c r="J350" s="28">
        <v>376</v>
      </c>
      <c r="K350" s="47">
        <f t="shared" ref="K350" si="358">I350+J350</f>
        <v>376</v>
      </c>
      <c r="M350" s="47">
        <f t="shared" ref="M350:M352" si="359">K350+L350</f>
        <v>376</v>
      </c>
      <c r="O350" s="47">
        <f t="shared" ref="O350" si="360">M350+N350</f>
        <v>376</v>
      </c>
      <c r="P350" s="30"/>
      <c r="Q350" s="47">
        <f t="shared" ref="Q350" si="361">O350+P350</f>
        <v>376</v>
      </c>
      <c r="S350" s="47">
        <f t="shared" ref="S350" si="362">Q350+R350</f>
        <v>376</v>
      </c>
      <c r="V350" s="47">
        <f>S350+U350</f>
        <v>376</v>
      </c>
      <c r="X350" s="47">
        <f>V350+W350</f>
        <v>376</v>
      </c>
      <c r="Z350" s="47">
        <f>X350+Y350</f>
        <v>376</v>
      </c>
      <c r="AA350" s="86">
        <v>376</v>
      </c>
      <c r="AB350" s="85">
        <f t="shared" si="337"/>
        <v>1</v>
      </c>
    </row>
    <row r="351" spans="1:28" ht="34.5" customHeight="1" x14ac:dyDescent="0.25">
      <c r="A351" s="45" t="s">
        <v>628</v>
      </c>
      <c r="B351" s="40"/>
      <c r="C351" s="40" t="s">
        <v>30</v>
      </c>
      <c r="D351" s="40" t="s">
        <v>20</v>
      </c>
      <c r="E351" s="40" t="s">
        <v>522</v>
      </c>
      <c r="F351" s="40"/>
      <c r="G351" s="29"/>
      <c r="I351" s="47">
        <v>0</v>
      </c>
      <c r="K351" s="47"/>
      <c r="M351" s="47">
        <f>M352</f>
        <v>378.2</v>
      </c>
      <c r="O351" s="47">
        <f>O352</f>
        <v>777.9</v>
      </c>
      <c r="P351" s="30"/>
      <c r="Q351" s="47">
        <f>Q352</f>
        <v>777.9</v>
      </c>
      <c r="S351" s="47">
        <f>S352</f>
        <v>777.9</v>
      </c>
      <c r="V351" s="47">
        <f>V352</f>
        <v>3177.9</v>
      </c>
      <c r="X351" s="47">
        <f>X352</f>
        <v>3829.1000000000004</v>
      </c>
      <c r="Z351" s="47">
        <f>Z352</f>
        <v>3829.1000000000004</v>
      </c>
      <c r="AA351" s="47">
        <f>AA352</f>
        <v>3805.9</v>
      </c>
      <c r="AB351" s="85">
        <f t="shared" si="337"/>
        <v>0.99394113499255687</v>
      </c>
    </row>
    <row r="352" spans="1:28" x14ac:dyDescent="0.25">
      <c r="A352" s="41" t="s">
        <v>422</v>
      </c>
      <c r="B352" s="40"/>
      <c r="C352" s="40" t="s">
        <v>30</v>
      </c>
      <c r="D352" s="40" t="s">
        <v>20</v>
      </c>
      <c r="E352" s="40" t="s">
        <v>522</v>
      </c>
      <c r="F352" s="40" t="s">
        <v>420</v>
      </c>
      <c r="G352" s="29"/>
      <c r="I352" s="47">
        <v>0</v>
      </c>
      <c r="K352" s="47"/>
      <c r="L352" s="30">
        <v>378.2</v>
      </c>
      <c r="M352" s="47">
        <f t="shared" si="359"/>
        <v>378.2</v>
      </c>
      <c r="N352" s="30">
        <v>399.7</v>
      </c>
      <c r="O352" s="47">
        <f t="shared" ref="O352" si="363">M352+N352</f>
        <v>777.9</v>
      </c>
      <c r="P352" s="30"/>
      <c r="Q352" s="47">
        <f t="shared" ref="Q352" si="364">O352+P352</f>
        <v>777.9</v>
      </c>
      <c r="S352" s="47">
        <f t="shared" ref="S352" si="365">Q352+R352</f>
        <v>777.9</v>
      </c>
      <c r="U352" s="30">
        <v>2400</v>
      </c>
      <c r="V352" s="47">
        <f>S352+U352</f>
        <v>3177.9</v>
      </c>
      <c r="W352" s="30">
        <f>51.2+600</f>
        <v>651.20000000000005</v>
      </c>
      <c r="X352" s="47">
        <f>V352+W352</f>
        <v>3829.1000000000004</v>
      </c>
      <c r="Z352" s="47">
        <f>X352+Y352</f>
        <v>3829.1000000000004</v>
      </c>
      <c r="AA352" s="86">
        <v>3805.9</v>
      </c>
      <c r="AB352" s="85">
        <f t="shared" si="337"/>
        <v>0.99394113499255687</v>
      </c>
    </row>
    <row r="353" spans="1:28" ht="30.75" customHeight="1" x14ac:dyDescent="0.25">
      <c r="A353" s="37" t="s">
        <v>557</v>
      </c>
      <c r="B353" s="35" t="s">
        <v>101</v>
      </c>
      <c r="C353" s="35"/>
      <c r="D353" s="35"/>
      <c r="E353" s="35"/>
      <c r="F353" s="35"/>
      <c r="G353" s="36">
        <f>G365+G371+G354</f>
        <v>13030.6</v>
      </c>
      <c r="I353" s="48">
        <f>I365+I371+I354</f>
        <v>9642.4</v>
      </c>
      <c r="K353" s="48">
        <f>K365+K371+K354</f>
        <v>10038.98</v>
      </c>
      <c r="M353" s="48">
        <f>M365+M371+M354</f>
        <v>10482.540000000001</v>
      </c>
      <c r="O353" s="48">
        <f>O365+O371+O354+O358</f>
        <v>10223.309999999998</v>
      </c>
      <c r="P353" s="30"/>
      <c r="Q353" s="48">
        <f>Q365+Q371+Q354+Q358</f>
        <v>10223.309999999998</v>
      </c>
      <c r="S353" s="48">
        <f>S365+S371+S354+S358</f>
        <v>11459.629999999997</v>
      </c>
      <c r="V353" s="48">
        <f>V365+V371+V354+V358</f>
        <v>11459.629999999997</v>
      </c>
      <c r="X353" s="48">
        <f>X365+X371+X354+X358</f>
        <v>11477.259999999998</v>
      </c>
      <c r="Z353" s="48">
        <f>Z365+Z371+Z354+Z358</f>
        <v>11669.759999999998</v>
      </c>
      <c r="AA353" s="48">
        <f>AA365+AA371+AA354+AA358</f>
        <v>10252.89</v>
      </c>
      <c r="AB353" s="87">
        <f t="shared" si="337"/>
        <v>0.87858619200394872</v>
      </c>
    </row>
    <row r="354" spans="1:28" x14ac:dyDescent="0.25">
      <c r="A354" s="39" t="s">
        <v>42</v>
      </c>
      <c r="B354" s="35"/>
      <c r="C354" s="35" t="s">
        <v>24</v>
      </c>
      <c r="D354" s="35"/>
      <c r="E354" s="35"/>
      <c r="F354" s="35"/>
      <c r="G354" s="36">
        <f>G355</f>
        <v>120</v>
      </c>
      <c r="I354" s="48">
        <f>I355</f>
        <v>120</v>
      </c>
      <c r="K354" s="48">
        <f>K355</f>
        <v>120</v>
      </c>
      <c r="M354" s="48">
        <f>M355</f>
        <v>120</v>
      </c>
      <c r="O354" s="48">
        <f>O355</f>
        <v>120</v>
      </c>
      <c r="P354" s="30"/>
      <c r="Q354" s="48">
        <f>Q355</f>
        <v>120</v>
      </c>
      <c r="S354" s="48">
        <f>S355</f>
        <v>120</v>
      </c>
      <c r="V354" s="48">
        <f>V355</f>
        <v>120</v>
      </c>
      <c r="X354" s="48">
        <f>X355</f>
        <v>120</v>
      </c>
      <c r="Z354" s="48">
        <f t="shared" ref="Z354:AA356" si="366">Z355</f>
        <v>120</v>
      </c>
      <c r="AA354" s="48">
        <f t="shared" si="366"/>
        <v>0</v>
      </c>
      <c r="AB354" s="87">
        <f t="shared" si="337"/>
        <v>0</v>
      </c>
    </row>
    <row r="355" spans="1:28" x14ac:dyDescent="0.25">
      <c r="A355" s="46" t="s">
        <v>307</v>
      </c>
      <c r="B355" s="35"/>
      <c r="C355" s="35" t="s">
        <v>24</v>
      </c>
      <c r="D355" s="35" t="s">
        <v>15</v>
      </c>
      <c r="E355" s="35"/>
      <c r="F355" s="35"/>
      <c r="G355" s="36">
        <f>G356</f>
        <v>120</v>
      </c>
      <c r="I355" s="48">
        <f>I356</f>
        <v>120</v>
      </c>
      <c r="K355" s="48">
        <f>K356</f>
        <v>120</v>
      </c>
      <c r="M355" s="48">
        <f>M356</f>
        <v>120</v>
      </c>
      <c r="O355" s="48">
        <f>O356</f>
        <v>120</v>
      </c>
      <c r="P355" s="30"/>
      <c r="Q355" s="48">
        <f>Q356</f>
        <v>120</v>
      </c>
      <c r="S355" s="48">
        <f>S356</f>
        <v>120</v>
      </c>
      <c r="V355" s="48">
        <f>V356</f>
        <v>120</v>
      </c>
      <c r="X355" s="48">
        <f>X356</f>
        <v>120</v>
      </c>
      <c r="Z355" s="48">
        <f t="shared" si="366"/>
        <v>120</v>
      </c>
      <c r="AA355" s="48">
        <f t="shared" si="366"/>
        <v>0</v>
      </c>
      <c r="AB355" s="87">
        <f t="shared" si="337"/>
        <v>0</v>
      </c>
    </row>
    <row r="356" spans="1:28" ht="31.5" x14ac:dyDescent="0.25">
      <c r="A356" s="45" t="s">
        <v>308</v>
      </c>
      <c r="B356" s="40"/>
      <c r="C356" s="40" t="s">
        <v>24</v>
      </c>
      <c r="D356" s="40" t="s">
        <v>15</v>
      </c>
      <c r="E356" s="40" t="s">
        <v>309</v>
      </c>
      <c r="F356" s="40"/>
      <c r="G356" s="29">
        <f>G357</f>
        <v>120</v>
      </c>
      <c r="I356" s="47">
        <f>I357</f>
        <v>120</v>
      </c>
      <c r="K356" s="47">
        <f>K357</f>
        <v>120</v>
      </c>
      <c r="M356" s="47">
        <f>M357</f>
        <v>120</v>
      </c>
      <c r="O356" s="47">
        <f>O357</f>
        <v>120</v>
      </c>
      <c r="P356" s="30"/>
      <c r="Q356" s="47">
        <f>Q357</f>
        <v>120</v>
      </c>
      <c r="S356" s="47">
        <f>S357</f>
        <v>120</v>
      </c>
      <c r="V356" s="47">
        <f>V357</f>
        <v>120</v>
      </c>
      <c r="X356" s="47">
        <f>X357</f>
        <v>120</v>
      </c>
      <c r="Z356" s="47">
        <f t="shared" si="366"/>
        <v>120</v>
      </c>
      <c r="AA356" s="47">
        <f t="shared" si="366"/>
        <v>0</v>
      </c>
      <c r="AB356" s="85">
        <f t="shared" si="337"/>
        <v>0</v>
      </c>
    </row>
    <row r="357" spans="1:28" x14ac:dyDescent="0.25">
      <c r="A357" s="43" t="s">
        <v>244</v>
      </c>
      <c r="B357" s="40"/>
      <c r="C357" s="40" t="s">
        <v>24</v>
      </c>
      <c r="D357" s="40" t="s">
        <v>15</v>
      </c>
      <c r="E357" s="40" t="s">
        <v>309</v>
      </c>
      <c r="F357" s="40" t="s">
        <v>225</v>
      </c>
      <c r="G357" s="29">
        <v>120</v>
      </c>
      <c r="I357" s="47">
        <f t="shared" ref="I357:K357" si="367">G357+H357</f>
        <v>120</v>
      </c>
      <c r="K357" s="47">
        <f t="shared" si="367"/>
        <v>120</v>
      </c>
      <c r="M357" s="47">
        <f t="shared" ref="M357" si="368">K357+L357</f>
        <v>120</v>
      </c>
      <c r="O357" s="47">
        <f t="shared" ref="O357" si="369">M357+N357</f>
        <v>120</v>
      </c>
      <c r="P357" s="30"/>
      <c r="Q357" s="47">
        <f t="shared" ref="Q357" si="370">O357+P357</f>
        <v>120</v>
      </c>
      <c r="S357" s="47">
        <f t="shared" ref="S357" si="371">Q357+R357</f>
        <v>120</v>
      </c>
      <c r="V357" s="47">
        <f>S357+U357</f>
        <v>120</v>
      </c>
      <c r="X357" s="47">
        <f>V357+W357</f>
        <v>120</v>
      </c>
      <c r="Z357" s="47">
        <f>X357+Y357</f>
        <v>120</v>
      </c>
      <c r="AA357" s="86">
        <v>0</v>
      </c>
      <c r="AB357" s="85">
        <f t="shared" si="337"/>
        <v>0</v>
      </c>
    </row>
    <row r="358" spans="1:28" x14ac:dyDescent="0.25">
      <c r="A358" s="42" t="s">
        <v>280</v>
      </c>
      <c r="B358" s="35"/>
      <c r="C358" s="35" t="s">
        <v>56</v>
      </c>
      <c r="D358" s="35" t="s">
        <v>56</v>
      </c>
      <c r="E358" s="35"/>
      <c r="F358" s="35"/>
      <c r="G358" s="29"/>
      <c r="I358" s="47">
        <v>0</v>
      </c>
      <c r="K358" s="47"/>
      <c r="M358" s="47"/>
      <c r="O358" s="47">
        <f>O359+O361+O363</f>
        <v>411.57</v>
      </c>
      <c r="P358" s="30"/>
      <c r="Q358" s="47">
        <f>Q359+Q361+Q363</f>
        <v>411.57</v>
      </c>
      <c r="S358" s="47">
        <f>S359+S361+S363</f>
        <v>445.32</v>
      </c>
      <c r="V358" s="47">
        <f>V359+V361+V363</f>
        <v>445.32</v>
      </c>
      <c r="X358" s="47">
        <f>X359+X361+X363</f>
        <v>445.32</v>
      </c>
      <c r="Z358" s="47">
        <f>Z359+Z361+Z363</f>
        <v>445.32</v>
      </c>
      <c r="AA358" s="47">
        <f>AA359+AA361+AA363</f>
        <v>445.28</v>
      </c>
      <c r="AB358" s="85">
        <f t="shared" si="337"/>
        <v>0.99991017695140572</v>
      </c>
    </row>
    <row r="359" spans="1:28" x14ac:dyDescent="0.25">
      <c r="A359" s="19" t="s">
        <v>529</v>
      </c>
      <c r="B359" s="40"/>
      <c r="C359" s="40" t="s">
        <v>56</v>
      </c>
      <c r="D359" s="40" t="s">
        <v>56</v>
      </c>
      <c r="E359" s="40" t="s">
        <v>279</v>
      </c>
      <c r="F359" s="40"/>
      <c r="G359" s="29"/>
      <c r="I359" s="47">
        <v>0</v>
      </c>
      <c r="K359" s="47"/>
      <c r="M359" s="47"/>
      <c r="O359" s="47">
        <f>O360</f>
        <v>6.7</v>
      </c>
      <c r="P359" s="30"/>
      <c r="Q359" s="47">
        <f>Q360</f>
        <v>6.7</v>
      </c>
      <c r="S359" s="47">
        <f>S360</f>
        <v>6.7</v>
      </c>
      <c r="V359" s="47">
        <f>V360</f>
        <v>6.7</v>
      </c>
      <c r="X359" s="47">
        <f>X360</f>
        <v>6.7</v>
      </c>
      <c r="Z359" s="47">
        <f>Z360</f>
        <v>6.7</v>
      </c>
      <c r="AA359" s="47">
        <f>AA360</f>
        <v>6.7</v>
      </c>
      <c r="AB359" s="85">
        <f t="shared" si="337"/>
        <v>1</v>
      </c>
    </row>
    <row r="360" spans="1:28" x14ac:dyDescent="0.25">
      <c r="A360" s="43" t="s">
        <v>530</v>
      </c>
      <c r="B360" s="40"/>
      <c r="C360" s="40" t="s">
        <v>56</v>
      </c>
      <c r="D360" s="40" t="s">
        <v>56</v>
      </c>
      <c r="E360" s="40" t="s">
        <v>279</v>
      </c>
      <c r="F360" s="40" t="s">
        <v>299</v>
      </c>
      <c r="G360" s="29"/>
      <c r="I360" s="47">
        <v>0</v>
      </c>
      <c r="K360" s="47"/>
      <c r="M360" s="47"/>
      <c r="N360" s="30">
        <v>6.7</v>
      </c>
      <c r="O360" s="47">
        <f t="shared" ref="O360:O364" si="372">M360+N360</f>
        <v>6.7</v>
      </c>
      <c r="P360" s="30"/>
      <c r="Q360" s="47">
        <f t="shared" ref="Q360" si="373">O360+P360</f>
        <v>6.7</v>
      </c>
      <c r="S360" s="47">
        <f t="shared" ref="S360" si="374">Q360+R360</f>
        <v>6.7</v>
      </c>
      <c r="V360" s="47">
        <f>S360+U360</f>
        <v>6.7</v>
      </c>
      <c r="X360" s="47">
        <f>V360+W360</f>
        <v>6.7</v>
      </c>
      <c r="Z360" s="47">
        <f>X360+Y360</f>
        <v>6.7</v>
      </c>
      <c r="AA360" s="86">
        <v>6.7</v>
      </c>
      <c r="AB360" s="85">
        <f t="shared" si="337"/>
        <v>1</v>
      </c>
    </row>
    <row r="361" spans="1:28" x14ac:dyDescent="0.25">
      <c r="A361" s="19" t="s">
        <v>102</v>
      </c>
      <c r="B361" s="40"/>
      <c r="C361" s="40" t="s">
        <v>56</v>
      </c>
      <c r="D361" s="40" t="s">
        <v>56</v>
      </c>
      <c r="E361" s="40" t="s">
        <v>527</v>
      </c>
      <c r="F361" s="40"/>
      <c r="G361" s="29"/>
      <c r="I361" s="47">
        <v>0</v>
      </c>
      <c r="K361" s="47"/>
      <c r="M361" s="47"/>
      <c r="O361" s="47">
        <f>O362</f>
        <v>299.5</v>
      </c>
      <c r="P361" s="30"/>
      <c r="Q361" s="47">
        <f>Q362</f>
        <v>299.5</v>
      </c>
      <c r="S361" s="47">
        <f>S362</f>
        <v>299.5</v>
      </c>
      <c r="V361" s="47">
        <f>V362</f>
        <v>299.5</v>
      </c>
      <c r="X361" s="47">
        <f>X362</f>
        <v>299.5</v>
      </c>
      <c r="Z361" s="47">
        <f>Z362</f>
        <v>299.5</v>
      </c>
      <c r="AA361" s="47">
        <f>AA362</f>
        <v>299.45999999999998</v>
      </c>
      <c r="AB361" s="85">
        <f t="shared" si="337"/>
        <v>0.99986644407345571</v>
      </c>
    </row>
    <row r="362" spans="1:28" x14ac:dyDescent="0.25">
      <c r="A362" s="43" t="s">
        <v>530</v>
      </c>
      <c r="B362" s="40"/>
      <c r="C362" s="40" t="s">
        <v>56</v>
      </c>
      <c r="D362" s="40" t="s">
        <v>56</v>
      </c>
      <c r="E362" s="40" t="s">
        <v>527</v>
      </c>
      <c r="F362" s="40" t="s">
        <v>299</v>
      </c>
      <c r="G362" s="29"/>
      <c r="I362" s="47">
        <v>0</v>
      </c>
      <c r="K362" s="47"/>
      <c r="M362" s="47"/>
      <c r="N362" s="30">
        <v>299.5</v>
      </c>
      <c r="O362" s="47">
        <f t="shared" si="372"/>
        <v>299.5</v>
      </c>
      <c r="P362" s="30"/>
      <c r="Q362" s="47">
        <f t="shared" ref="Q362" si="375">O362+P362</f>
        <v>299.5</v>
      </c>
      <c r="S362" s="47">
        <f t="shared" ref="S362" si="376">Q362+R362</f>
        <v>299.5</v>
      </c>
      <c r="V362" s="47">
        <f>S362+U362</f>
        <v>299.5</v>
      </c>
      <c r="X362" s="47">
        <f>V362+W362</f>
        <v>299.5</v>
      </c>
      <c r="Z362" s="47">
        <f>X362+Y362</f>
        <v>299.5</v>
      </c>
      <c r="AA362" s="86">
        <v>299.45999999999998</v>
      </c>
      <c r="AB362" s="85">
        <f t="shared" si="337"/>
        <v>0.99986644407345571</v>
      </c>
    </row>
    <row r="363" spans="1:28" x14ac:dyDescent="0.25">
      <c r="A363" s="19" t="s">
        <v>531</v>
      </c>
      <c r="B363" s="40"/>
      <c r="C363" s="40" t="s">
        <v>56</v>
      </c>
      <c r="D363" s="40" t="s">
        <v>56</v>
      </c>
      <c r="E363" s="40" t="s">
        <v>528</v>
      </c>
      <c r="F363" s="40"/>
      <c r="G363" s="29"/>
      <c r="I363" s="47">
        <v>0</v>
      </c>
      <c r="K363" s="47"/>
      <c r="M363" s="47"/>
      <c r="O363" s="47">
        <f>O364</f>
        <v>105.37</v>
      </c>
      <c r="P363" s="30"/>
      <c r="Q363" s="47">
        <f>Q364</f>
        <v>105.37</v>
      </c>
      <c r="S363" s="47">
        <f>S364</f>
        <v>139.12</v>
      </c>
      <c r="V363" s="47">
        <f>V364</f>
        <v>139.12</v>
      </c>
      <c r="X363" s="47">
        <f>X364</f>
        <v>139.12</v>
      </c>
      <c r="Z363" s="47">
        <f>Z364</f>
        <v>139.12</v>
      </c>
      <c r="AA363" s="47">
        <f>AA364</f>
        <v>139.12</v>
      </c>
      <c r="AB363" s="85">
        <f t="shared" si="337"/>
        <v>1</v>
      </c>
    </row>
    <row r="364" spans="1:28" x14ac:dyDescent="0.25">
      <c r="A364" s="43" t="s">
        <v>530</v>
      </c>
      <c r="B364" s="40"/>
      <c r="C364" s="40" t="s">
        <v>56</v>
      </c>
      <c r="D364" s="40" t="s">
        <v>56</v>
      </c>
      <c r="E364" s="40" t="s">
        <v>528</v>
      </c>
      <c r="F364" s="40" t="s">
        <v>299</v>
      </c>
      <c r="G364" s="29"/>
      <c r="I364" s="47">
        <v>0</v>
      </c>
      <c r="K364" s="47"/>
      <c r="M364" s="47"/>
      <c r="N364" s="30">
        <v>105.37</v>
      </c>
      <c r="O364" s="47">
        <f t="shared" si="372"/>
        <v>105.37</v>
      </c>
      <c r="P364" s="30"/>
      <c r="Q364" s="47">
        <f t="shared" ref="Q364" si="377">O364+P364</f>
        <v>105.37</v>
      </c>
      <c r="R364" s="30">
        <v>33.75</v>
      </c>
      <c r="S364" s="47">
        <f t="shared" ref="S364" si="378">Q364+R364</f>
        <v>139.12</v>
      </c>
      <c r="V364" s="47">
        <f>S364+U364</f>
        <v>139.12</v>
      </c>
      <c r="X364" s="47">
        <f>V364+W364</f>
        <v>139.12</v>
      </c>
      <c r="Z364" s="47">
        <f>X364+Y364</f>
        <v>139.12</v>
      </c>
      <c r="AA364" s="86">
        <v>139.12</v>
      </c>
      <c r="AB364" s="85">
        <f t="shared" si="337"/>
        <v>1</v>
      </c>
    </row>
    <row r="365" spans="1:28" x14ac:dyDescent="0.25">
      <c r="A365" s="39" t="s">
        <v>303</v>
      </c>
      <c r="B365" s="35"/>
      <c r="C365" s="35" t="s">
        <v>63</v>
      </c>
      <c r="D365" s="35"/>
      <c r="E365" s="35"/>
      <c r="F365" s="35"/>
      <c r="G365" s="36">
        <f>G366</f>
        <v>40</v>
      </c>
      <c r="I365" s="48">
        <f>I366</f>
        <v>40</v>
      </c>
      <c r="K365" s="48">
        <f>K366</f>
        <v>40</v>
      </c>
      <c r="M365" s="48">
        <f>M366</f>
        <v>40</v>
      </c>
      <c r="O365" s="48">
        <f>O366</f>
        <v>40</v>
      </c>
      <c r="P365" s="30"/>
      <c r="Q365" s="48">
        <f>Q366</f>
        <v>40</v>
      </c>
      <c r="S365" s="48">
        <f>S366</f>
        <v>40</v>
      </c>
      <c r="V365" s="48">
        <f>V366</f>
        <v>40</v>
      </c>
      <c r="X365" s="48">
        <f>X366</f>
        <v>40</v>
      </c>
      <c r="Z365" s="48">
        <f>Z366</f>
        <v>232.5</v>
      </c>
      <c r="AA365" s="48">
        <f>AA366</f>
        <v>93.38</v>
      </c>
      <c r="AB365" s="87">
        <f t="shared" si="337"/>
        <v>0.40163440860215049</v>
      </c>
    </row>
    <row r="366" spans="1:28" x14ac:dyDescent="0.25">
      <c r="A366" s="39" t="s">
        <v>208</v>
      </c>
      <c r="B366" s="35"/>
      <c r="C366" s="35" t="s">
        <v>63</v>
      </c>
      <c r="D366" s="35" t="s">
        <v>63</v>
      </c>
      <c r="E366" s="35"/>
      <c r="F366" s="35"/>
      <c r="G366" s="36">
        <f>G367</f>
        <v>40</v>
      </c>
      <c r="I366" s="48">
        <f>I367</f>
        <v>40</v>
      </c>
      <c r="K366" s="48">
        <f>K367</f>
        <v>40</v>
      </c>
      <c r="M366" s="48">
        <f>M367</f>
        <v>40</v>
      </c>
      <c r="O366" s="48">
        <f>O367</f>
        <v>40</v>
      </c>
      <c r="P366" s="30"/>
      <c r="Q366" s="48">
        <f>Q367</f>
        <v>40</v>
      </c>
      <c r="S366" s="48">
        <f>S367</f>
        <v>40</v>
      </c>
      <c r="V366" s="48">
        <f>V367</f>
        <v>40</v>
      </c>
      <c r="X366" s="48">
        <f>X367</f>
        <v>40</v>
      </c>
      <c r="Z366" s="48">
        <f>Z367+Z369</f>
        <v>232.5</v>
      </c>
      <c r="AA366" s="48">
        <f>AA367+AA369</f>
        <v>93.38</v>
      </c>
      <c r="AB366" s="87">
        <f t="shared" si="337"/>
        <v>0.40163440860215049</v>
      </c>
    </row>
    <row r="367" spans="1:28" ht="17.25" customHeight="1" x14ac:dyDescent="0.25">
      <c r="A367" s="45" t="s">
        <v>373</v>
      </c>
      <c r="B367" s="40"/>
      <c r="C367" s="40" t="s">
        <v>63</v>
      </c>
      <c r="D367" s="40" t="s">
        <v>63</v>
      </c>
      <c r="E367" s="40" t="s">
        <v>304</v>
      </c>
      <c r="F367" s="40"/>
      <c r="G367" s="29">
        <f>G368</f>
        <v>40</v>
      </c>
      <c r="I367" s="47">
        <f>I368</f>
        <v>40</v>
      </c>
      <c r="K367" s="47">
        <f>K368</f>
        <v>40</v>
      </c>
      <c r="M367" s="47">
        <f>M368</f>
        <v>40</v>
      </c>
      <c r="O367" s="47">
        <f>O368</f>
        <v>40</v>
      </c>
      <c r="P367" s="30"/>
      <c r="Q367" s="47">
        <f>Q368</f>
        <v>40</v>
      </c>
      <c r="S367" s="47">
        <f>S368</f>
        <v>40</v>
      </c>
      <c r="V367" s="47">
        <f>V368</f>
        <v>40</v>
      </c>
      <c r="X367" s="47">
        <f>X368</f>
        <v>40</v>
      </c>
      <c r="Z367" s="47">
        <f>Z368</f>
        <v>40</v>
      </c>
      <c r="AA367" s="47">
        <f>AA368</f>
        <v>16</v>
      </c>
      <c r="AB367" s="85">
        <f t="shared" si="337"/>
        <v>0.4</v>
      </c>
    </row>
    <row r="368" spans="1:28" x14ac:dyDescent="0.25">
      <c r="A368" s="43" t="s">
        <v>244</v>
      </c>
      <c r="B368" s="40"/>
      <c r="C368" s="40" t="s">
        <v>63</v>
      </c>
      <c r="D368" s="40" t="s">
        <v>63</v>
      </c>
      <c r="E368" s="40" t="s">
        <v>304</v>
      </c>
      <c r="F368" s="40" t="s">
        <v>225</v>
      </c>
      <c r="G368" s="29">
        <v>40</v>
      </c>
      <c r="I368" s="47">
        <f t="shared" ref="I368:K368" si="379">G368+H368</f>
        <v>40</v>
      </c>
      <c r="K368" s="47">
        <f t="shared" si="379"/>
        <v>40</v>
      </c>
      <c r="M368" s="47">
        <f t="shared" ref="M368" si="380">K368+L368</f>
        <v>40</v>
      </c>
      <c r="O368" s="47">
        <f t="shared" ref="O368" si="381">M368+N368</f>
        <v>40</v>
      </c>
      <c r="P368" s="30"/>
      <c r="Q368" s="47">
        <f t="shared" ref="Q368" si="382">O368+P368</f>
        <v>40</v>
      </c>
      <c r="S368" s="47">
        <f t="shared" ref="S368" si="383">Q368+R368</f>
        <v>40</v>
      </c>
      <c r="V368" s="47">
        <f>S368+U368</f>
        <v>40</v>
      </c>
      <c r="X368" s="47">
        <f>V368+W368</f>
        <v>40</v>
      </c>
      <c r="Z368" s="47">
        <f>X368+Y368</f>
        <v>40</v>
      </c>
      <c r="AA368" s="86">
        <v>16</v>
      </c>
      <c r="AB368" s="85">
        <f t="shared" si="337"/>
        <v>0.4</v>
      </c>
    </row>
    <row r="369" spans="1:28" x14ac:dyDescent="0.25">
      <c r="A369" s="19" t="s">
        <v>563</v>
      </c>
      <c r="B369" s="40"/>
      <c r="C369" s="40" t="s">
        <v>63</v>
      </c>
      <c r="D369" s="40" t="s">
        <v>63</v>
      </c>
      <c r="E369" s="40" t="s">
        <v>340</v>
      </c>
      <c r="F369" s="40"/>
      <c r="G369" s="29"/>
      <c r="I369" s="47">
        <v>0</v>
      </c>
      <c r="K369" s="47"/>
      <c r="M369" s="47"/>
      <c r="O369" s="47"/>
      <c r="P369" s="30"/>
      <c r="Q369" s="47"/>
      <c r="S369" s="47"/>
      <c r="V369" s="47"/>
      <c r="X369" s="47"/>
      <c r="Z369" s="47">
        <f>Z370</f>
        <v>192.5</v>
      </c>
      <c r="AA369" s="47">
        <f>AA370</f>
        <v>77.38</v>
      </c>
      <c r="AB369" s="85">
        <f t="shared" si="337"/>
        <v>0.40197402597402593</v>
      </c>
    </row>
    <row r="370" spans="1:28" x14ac:dyDescent="0.25">
      <c r="A370" s="43" t="s">
        <v>244</v>
      </c>
      <c r="B370" s="40"/>
      <c r="C370" s="40" t="s">
        <v>63</v>
      </c>
      <c r="D370" s="40" t="s">
        <v>63</v>
      </c>
      <c r="E370" s="40" t="s">
        <v>340</v>
      </c>
      <c r="F370" s="40" t="s">
        <v>225</v>
      </c>
      <c r="G370" s="29"/>
      <c r="I370" s="47">
        <v>0</v>
      </c>
      <c r="K370" s="47"/>
      <c r="M370" s="47"/>
      <c r="O370" s="47"/>
      <c r="P370" s="30"/>
      <c r="Q370" s="47"/>
      <c r="S370" s="47"/>
      <c r="V370" s="47"/>
      <c r="X370" s="47"/>
      <c r="Y370" s="30">
        <v>192.5</v>
      </c>
      <c r="Z370" s="47">
        <f>X370+Y370</f>
        <v>192.5</v>
      </c>
      <c r="AA370" s="86">
        <v>77.38</v>
      </c>
      <c r="AB370" s="85">
        <f t="shared" si="337"/>
        <v>0.40197402597402593</v>
      </c>
    </row>
    <row r="371" spans="1:28" x14ac:dyDescent="0.25">
      <c r="A371" s="34" t="s">
        <v>67</v>
      </c>
      <c r="B371" s="35"/>
      <c r="C371" s="35" t="s">
        <v>68</v>
      </c>
      <c r="D371" s="35"/>
      <c r="E371" s="35"/>
      <c r="F371" s="35"/>
      <c r="G371" s="36">
        <f>G378+G398+G372</f>
        <v>12870.6</v>
      </c>
      <c r="I371" s="48">
        <f>I378+I398+I372</f>
        <v>9482.4</v>
      </c>
      <c r="K371" s="48">
        <f>K378+K398+K372+K395</f>
        <v>9878.98</v>
      </c>
      <c r="M371" s="48">
        <f>M378+M398+M372+M395</f>
        <v>10322.540000000001</v>
      </c>
      <c r="O371" s="48">
        <f>O378+O398+O372+O395+O375</f>
        <v>9651.739999999998</v>
      </c>
      <c r="P371" s="30"/>
      <c r="Q371" s="48">
        <f>Q378+Q398+Q372+Q395+Q375</f>
        <v>9651.739999999998</v>
      </c>
      <c r="S371" s="48">
        <f>S378+S398+S372+S395+S375</f>
        <v>10854.309999999998</v>
      </c>
      <c r="V371" s="48">
        <f>V378+V398+V372+V395+V375</f>
        <v>10854.309999999998</v>
      </c>
      <c r="X371" s="48">
        <f>X378+X398+X372+X395+X375</f>
        <v>10871.939999999999</v>
      </c>
      <c r="Z371" s="48">
        <f>Z378+Z398+Z372+Z395+Z375</f>
        <v>10871.939999999999</v>
      </c>
      <c r="AA371" s="48">
        <f>AA378+AA398+AA372+AA395+AA375</f>
        <v>9714.23</v>
      </c>
      <c r="AB371" s="87">
        <f t="shared" si="337"/>
        <v>0.89351394507328041</v>
      </c>
    </row>
    <row r="372" spans="1:28" hidden="1" x14ac:dyDescent="0.25">
      <c r="A372" s="34" t="s">
        <v>90</v>
      </c>
      <c r="B372" s="35"/>
      <c r="C372" s="35" t="s">
        <v>68</v>
      </c>
      <c r="D372" s="35" t="s">
        <v>17</v>
      </c>
      <c r="E372" s="35"/>
      <c r="F372" s="35"/>
      <c r="G372" s="36">
        <f>G373</f>
        <v>3745.6</v>
      </c>
      <c r="I372" s="48">
        <f>I373</f>
        <v>0</v>
      </c>
      <c r="K372" s="48">
        <f>K373</f>
        <v>0</v>
      </c>
      <c r="M372" s="48">
        <f>M373</f>
        <v>0</v>
      </c>
      <c r="O372" s="48">
        <f>O373</f>
        <v>0</v>
      </c>
      <c r="P372" s="30"/>
      <c r="Q372" s="48">
        <f>Q373</f>
        <v>0</v>
      </c>
      <c r="S372" s="48">
        <f>S373</f>
        <v>0</v>
      </c>
      <c r="V372" s="48">
        <f>V373</f>
        <v>0</v>
      </c>
      <c r="X372" s="48">
        <f>X373</f>
        <v>0</v>
      </c>
      <c r="Z372" s="48">
        <f>Z373</f>
        <v>0</v>
      </c>
      <c r="AA372" s="48">
        <f>AA373</f>
        <v>0</v>
      </c>
      <c r="AB372" s="87">
        <v>0</v>
      </c>
    </row>
    <row r="373" spans="1:28" ht="13.5" hidden="1" customHeight="1" x14ac:dyDescent="0.25">
      <c r="A373" s="19" t="s">
        <v>361</v>
      </c>
      <c r="B373" s="35"/>
      <c r="C373" s="40" t="s">
        <v>68</v>
      </c>
      <c r="D373" s="40" t="s">
        <v>17</v>
      </c>
      <c r="E373" s="40" t="s">
        <v>360</v>
      </c>
      <c r="F373" s="40"/>
      <c r="G373" s="29">
        <f>G374</f>
        <v>3745.6</v>
      </c>
      <c r="I373" s="47">
        <f>I374</f>
        <v>0</v>
      </c>
      <c r="K373" s="47">
        <f>K374</f>
        <v>0</v>
      </c>
      <c r="M373" s="47">
        <f>M374</f>
        <v>0</v>
      </c>
      <c r="O373" s="47">
        <f>O374</f>
        <v>0</v>
      </c>
      <c r="P373" s="30"/>
      <c r="Q373" s="47">
        <f>Q374</f>
        <v>0</v>
      </c>
      <c r="S373" s="47">
        <f>S374</f>
        <v>0</v>
      </c>
      <c r="V373" s="47">
        <f>V374</f>
        <v>0</v>
      </c>
      <c r="X373" s="47">
        <f>X374</f>
        <v>0</v>
      </c>
      <c r="Z373" s="47">
        <f>Z374</f>
        <v>0</v>
      </c>
      <c r="AA373" s="47">
        <f>AA374</f>
        <v>0</v>
      </c>
      <c r="AB373" s="87">
        <v>0</v>
      </c>
    </row>
    <row r="374" spans="1:28" ht="30" hidden="1" customHeight="1" x14ac:dyDescent="0.25">
      <c r="A374" s="19" t="s">
        <v>263</v>
      </c>
      <c r="B374" s="35"/>
      <c r="C374" s="40" t="s">
        <v>68</v>
      </c>
      <c r="D374" s="40" t="s">
        <v>17</v>
      </c>
      <c r="E374" s="40" t="s">
        <v>360</v>
      </c>
      <c r="F374" s="40" t="s">
        <v>264</v>
      </c>
      <c r="G374" s="29">
        <v>3745.6</v>
      </c>
      <c r="H374" s="52">
        <v>-3745.6</v>
      </c>
      <c r="I374" s="47">
        <f t="shared" ref="I374:K374" si="384">G374+H374</f>
        <v>0</v>
      </c>
      <c r="K374" s="47">
        <f t="shared" si="384"/>
        <v>0</v>
      </c>
      <c r="M374" s="47">
        <f t="shared" ref="M374" si="385">K374+L374</f>
        <v>0</v>
      </c>
      <c r="O374" s="47">
        <f t="shared" ref="O374" si="386">M374+N374</f>
        <v>0</v>
      </c>
      <c r="P374" s="30"/>
      <c r="Q374" s="47">
        <f t="shared" ref="Q374" si="387">O374+P374</f>
        <v>0</v>
      </c>
      <c r="S374" s="47">
        <f t="shared" ref="S374" si="388">Q374+R374</f>
        <v>0</v>
      </c>
      <c r="V374" s="47">
        <f>S374+U374</f>
        <v>0</v>
      </c>
      <c r="X374" s="47">
        <f>V374+W374</f>
        <v>0</v>
      </c>
      <c r="Z374" s="47">
        <f>X374+Y374</f>
        <v>0</v>
      </c>
      <c r="AA374" s="47">
        <f>Y374+Z374</f>
        <v>0</v>
      </c>
      <c r="AB374" s="87">
        <v>0</v>
      </c>
    </row>
    <row r="375" spans="1:28" ht="12.75" hidden="1" customHeight="1" x14ac:dyDescent="0.25">
      <c r="A375" s="42" t="s">
        <v>539</v>
      </c>
      <c r="B375" s="35"/>
      <c r="C375" s="35" t="s">
        <v>68</v>
      </c>
      <c r="D375" s="35" t="s">
        <v>15</v>
      </c>
      <c r="E375" s="35"/>
      <c r="F375" s="35"/>
      <c r="G375" s="36"/>
      <c r="H375" s="69"/>
      <c r="I375" s="48"/>
      <c r="J375" s="66"/>
      <c r="K375" s="48"/>
      <c r="L375" s="66"/>
      <c r="M375" s="48"/>
      <c r="N375" s="66"/>
      <c r="O375" s="48">
        <f>O376</f>
        <v>0</v>
      </c>
      <c r="P375" s="66"/>
      <c r="Q375" s="48">
        <f>Q376</f>
        <v>0</v>
      </c>
      <c r="R375" s="66"/>
      <c r="S375" s="48">
        <f>S376</f>
        <v>0</v>
      </c>
      <c r="U375" s="66"/>
      <c r="V375" s="48">
        <f>V376</f>
        <v>0</v>
      </c>
      <c r="W375" s="66"/>
      <c r="X375" s="48">
        <f>X376</f>
        <v>0</v>
      </c>
      <c r="Y375" s="66"/>
      <c r="Z375" s="48">
        <f>Z376</f>
        <v>0</v>
      </c>
      <c r="AA375" s="48">
        <f>AA376</f>
        <v>0</v>
      </c>
      <c r="AB375" s="87">
        <v>0</v>
      </c>
    </row>
    <row r="376" spans="1:28" ht="30" hidden="1" customHeight="1" x14ac:dyDescent="0.25">
      <c r="A376" s="19" t="s">
        <v>538</v>
      </c>
      <c r="B376" s="35"/>
      <c r="C376" s="40" t="s">
        <v>68</v>
      </c>
      <c r="D376" s="40" t="s">
        <v>15</v>
      </c>
      <c r="E376" s="40" t="s">
        <v>536</v>
      </c>
      <c r="F376" s="40"/>
      <c r="G376" s="29"/>
      <c r="H376" s="58"/>
      <c r="I376" s="47"/>
      <c r="J376" s="30"/>
      <c r="K376" s="47"/>
      <c r="M376" s="47"/>
      <c r="O376" s="47">
        <f>O377</f>
        <v>0</v>
      </c>
      <c r="P376" s="30"/>
      <c r="Q376" s="47">
        <f>Q377</f>
        <v>0</v>
      </c>
      <c r="S376" s="47">
        <f>S377</f>
        <v>0</v>
      </c>
      <c r="V376" s="47">
        <f>V377</f>
        <v>0</v>
      </c>
      <c r="X376" s="47">
        <f>X377</f>
        <v>0</v>
      </c>
      <c r="Z376" s="47">
        <f>Z377</f>
        <v>0</v>
      </c>
      <c r="AA376" s="47">
        <f>AA377</f>
        <v>0</v>
      </c>
      <c r="AB376" s="87">
        <v>0</v>
      </c>
    </row>
    <row r="377" spans="1:28" ht="14.25" hidden="1" customHeight="1" x14ac:dyDescent="0.25">
      <c r="A377" s="19" t="s">
        <v>558</v>
      </c>
      <c r="B377" s="35"/>
      <c r="C377" s="40" t="s">
        <v>68</v>
      </c>
      <c r="D377" s="40" t="s">
        <v>15</v>
      </c>
      <c r="E377" s="40" t="s">
        <v>536</v>
      </c>
      <c r="F377" s="40" t="s">
        <v>537</v>
      </c>
      <c r="G377" s="29"/>
      <c r="H377" s="58"/>
      <c r="I377" s="47"/>
      <c r="J377" s="30"/>
      <c r="K377" s="47"/>
      <c r="M377" s="47"/>
      <c r="N377" s="30">
        <f>220.08-220.08</f>
        <v>0</v>
      </c>
      <c r="O377" s="47">
        <f t="shared" ref="O377" si="389">M377+N377</f>
        <v>0</v>
      </c>
      <c r="P377" s="30"/>
      <c r="Q377" s="47">
        <f t="shared" ref="Q377" si="390">O377+P377</f>
        <v>0</v>
      </c>
      <c r="S377" s="47">
        <f t="shared" ref="S377" si="391">Q377+R377</f>
        <v>0</v>
      </c>
      <c r="V377" s="47">
        <f>S377+U377</f>
        <v>0</v>
      </c>
      <c r="X377" s="47">
        <f>V377+W377</f>
        <v>0</v>
      </c>
      <c r="Z377" s="47">
        <f>X377+Y377</f>
        <v>0</v>
      </c>
      <c r="AA377" s="47">
        <f>Y377+Z377</f>
        <v>0</v>
      </c>
      <c r="AB377" s="87">
        <v>0</v>
      </c>
    </row>
    <row r="378" spans="1:28" x14ac:dyDescent="0.25">
      <c r="A378" s="34" t="s">
        <v>69</v>
      </c>
      <c r="B378" s="35"/>
      <c r="C378" s="35" t="s">
        <v>68</v>
      </c>
      <c r="D378" s="35" t="s">
        <v>20</v>
      </c>
      <c r="E378" s="35"/>
      <c r="F378" s="35"/>
      <c r="G378" s="36">
        <f>G379+G383+G393</f>
        <v>3637.2999999999997</v>
      </c>
      <c r="I378" s="48">
        <f>I379+I383+I393</f>
        <v>3837.2999999999997</v>
      </c>
      <c r="K378" s="48">
        <f>K379+K383+K393+K391</f>
        <v>3870.18</v>
      </c>
      <c r="M378" s="48">
        <f>M379+M383+M393+M391+M389</f>
        <v>4335.9799999999996</v>
      </c>
      <c r="O378" s="48">
        <f>O379+O383+O393+O391+O389</f>
        <v>4335.9799999999996</v>
      </c>
      <c r="P378" s="30"/>
      <c r="Q378" s="48">
        <f>Q379+Q383+Q393+Q391+Q389</f>
        <v>4335.9799999999996</v>
      </c>
      <c r="S378" s="48">
        <f>S379+S383+S393+S391+S389+S387+S381+S385</f>
        <v>5538.5499999999993</v>
      </c>
      <c r="V378" s="48">
        <f>V379+V383+V393+V391+V389+V387+V381+V385</f>
        <v>5538.5499999999993</v>
      </c>
      <c r="X378" s="48">
        <f>X379+X383+X393+X391+X389+X387+X381+X385</f>
        <v>5538.5499999999993</v>
      </c>
      <c r="Z378" s="48">
        <f>Z379+Z383+Z393+Z391+Z389+Z387+Z381+Z385</f>
        <v>5538.5499999999993</v>
      </c>
      <c r="AA378" s="48">
        <f>AA379+AA383+AA393+AA391+AA389+AA387+AA381+AA385</f>
        <v>4549.5899999999992</v>
      </c>
      <c r="AB378" s="87">
        <f t="shared" si="337"/>
        <v>0.82144062976771892</v>
      </c>
    </row>
    <row r="379" spans="1:28" x14ac:dyDescent="0.25">
      <c r="A379" s="41" t="s">
        <v>104</v>
      </c>
      <c r="B379" s="40"/>
      <c r="C379" s="40" t="s">
        <v>68</v>
      </c>
      <c r="D379" s="40" t="s">
        <v>20</v>
      </c>
      <c r="E379" s="40" t="s">
        <v>297</v>
      </c>
      <c r="F379" s="40"/>
      <c r="G379" s="29">
        <f>G380</f>
        <v>1258.4000000000001</v>
      </c>
      <c r="I379" s="47">
        <f>I380</f>
        <v>1258.4000000000001</v>
      </c>
      <c r="K379" s="47">
        <f>K380</f>
        <v>1258.4000000000001</v>
      </c>
      <c r="M379" s="47">
        <f>M380</f>
        <v>1128.4000000000001</v>
      </c>
      <c r="O379" s="47">
        <f>O380</f>
        <v>1128.4000000000001</v>
      </c>
      <c r="P379" s="30"/>
      <c r="Q379" s="47">
        <f>Q380</f>
        <v>1128.4000000000001</v>
      </c>
      <c r="S379" s="47">
        <f>S380</f>
        <v>1013.6700000000001</v>
      </c>
      <c r="V379" s="47">
        <f>V380</f>
        <v>1013.6700000000001</v>
      </c>
      <c r="X379" s="47">
        <f>X380</f>
        <v>1013.6700000000001</v>
      </c>
      <c r="Z379" s="47">
        <f>Z380</f>
        <v>1013.6700000000001</v>
      </c>
      <c r="AA379" s="47">
        <f>AA380</f>
        <v>661.1</v>
      </c>
      <c r="AB379" s="85">
        <f t="shared" si="337"/>
        <v>0.65218463602553101</v>
      </c>
    </row>
    <row r="380" spans="1:28" x14ac:dyDescent="0.25">
      <c r="A380" s="41" t="s">
        <v>298</v>
      </c>
      <c r="B380" s="40"/>
      <c r="C380" s="40" t="s">
        <v>68</v>
      </c>
      <c r="D380" s="40" t="s">
        <v>20</v>
      </c>
      <c r="E380" s="40" t="s">
        <v>297</v>
      </c>
      <c r="F380" s="40" t="s">
        <v>299</v>
      </c>
      <c r="G380" s="29">
        <f>1128.4+130</f>
        <v>1258.4000000000001</v>
      </c>
      <c r="I380" s="47">
        <f t="shared" ref="I380:K394" si="392">G380+H380</f>
        <v>1258.4000000000001</v>
      </c>
      <c r="K380" s="47">
        <f t="shared" si="392"/>
        <v>1258.4000000000001</v>
      </c>
      <c r="L380" s="30">
        <v>-130</v>
      </c>
      <c r="M380" s="47">
        <f t="shared" ref="M380" si="393">K380+L380</f>
        <v>1128.4000000000001</v>
      </c>
      <c r="O380" s="47">
        <f t="shared" ref="O380" si="394">M380+N380</f>
        <v>1128.4000000000001</v>
      </c>
      <c r="P380" s="30"/>
      <c r="Q380" s="47">
        <f t="shared" ref="Q380" si="395">O380+P380</f>
        <v>1128.4000000000001</v>
      </c>
      <c r="R380" s="30">
        <v>-114.73</v>
      </c>
      <c r="S380" s="47">
        <f t="shared" ref="S380:S382" si="396">Q380+R380</f>
        <v>1013.6700000000001</v>
      </c>
      <c r="T380" s="70">
        <v>-114.73</v>
      </c>
      <c r="V380" s="47">
        <f>S380+U380</f>
        <v>1013.6700000000001</v>
      </c>
      <c r="X380" s="47">
        <f>V380+W380</f>
        <v>1013.6700000000001</v>
      </c>
      <c r="Z380" s="47">
        <f>X380+Y380</f>
        <v>1013.6700000000001</v>
      </c>
      <c r="AA380" s="86">
        <f>723.6-62.5</f>
        <v>661.1</v>
      </c>
      <c r="AB380" s="85">
        <f t="shared" si="337"/>
        <v>0.65218463602553101</v>
      </c>
    </row>
    <row r="381" spans="1:28" ht="31.5" x14ac:dyDescent="0.25">
      <c r="A381" s="45" t="s">
        <v>592</v>
      </c>
      <c r="B381" s="40"/>
      <c r="C381" s="40" t="s">
        <v>68</v>
      </c>
      <c r="D381" s="40" t="s">
        <v>20</v>
      </c>
      <c r="E381" s="40" t="s">
        <v>591</v>
      </c>
      <c r="F381" s="40"/>
      <c r="G381" s="29"/>
      <c r="I381" s="47">
        <v>0</v>
      </c>
      <c r="K381" s="47"/>
      <c r="M381" s="47"/>
      <c r="O381" s="47"/>
      <c r="P381" s="30"/>
      <c r="Q381" s="47"/>
      <c r="S381" s="47">
        <f>S382</f>
        <v>78.91</v>
      </c>
      <c r="V381" s="47">
        <f>V382</f>
        <v>78.91</v>
      </c>
      <c r="X381" s="47">
        <f>X382</f>
        <v>78.91</v>
      </c>
      <c r="Z381" s="47">
        <f>Z382</f>
        <v>78.91</v>
      </c>
      <c r="AA381" s="47">
        <f>AA382</f>
        <v>62.5</v>
      </c>
      <c r="AB381" s="85">
        <f t="shared" si="337"/>
        <v>0.79204156634140166</v>
      </c>
    </row>
    <row r="382" spans="1:28" x14ac:dyDescent="0.25">
      <c r="A382" s="41" t="s">
        <v>298</v>
      </c>
      <c r="B382" s="40"/>
      <c r="C382" s="40" t="s">
        <v>68</v>
      </c>
      <c r="D382" s="40" t="s">
        <v>20</v>
      </c>
      <c r="E382" s="40" t="s">
        <v>591</v>
      </c>
      <c r="F382" s="40" t="s">
        <v>299</v>
      </c>
      <c r="G382" s="29"/>
      <c r="I382" s="47">
        <v>0</v>
      </c>
      <c r="K382" s="47"/>
      <c r="M382" s="47"/>
      <c r="O382" s="47"/>
      <c r="P382" s="30"/>
      <c r="Q382" s="47"/>
      <c r="R382" s="30">
        <v>78.91</v>
      </c>
      <c r="S382" s="47">
        <f t="shared" si="396"/>
        <v>78.91</v>
      </c>
      <c r="V382" s="47">
        <f>S382+U382</f>
        <v>78.91</v>
      </c>
      <c r="X382" s="47">
        <f>V382+W382</f>
        <v>78.91</v>
      </c>
      <c r="Z382" s="47">
        <f>X382+Y382</f>
        <v>78.91</v>
      </c>
      <c r="AA382" s="86">
        <v>62.5</v>
      </c>
      <c r="AB382" s="85">
        <f t="shared" si="337"/>
        <v>0.79204156634140166</v>
      </c>
    </row>
    <row r="383" spans="1:28" x14ac:dyDescent="0.25">
      <c r="A383" s="41" t="s">
        <v>72</v>
      </c>
      <c r="B383" s="40"/>
      <c r="C383" s="40" t="s">
        <v>68</v>
      </c>
      <c r="D383" s="40" t="s">
        <v>20</v>
      </c>
      <c r="E383" s="40" t="s">
        <v>249</v>
      </c>
      <c r="F383" s="40"/>
      <c r="G383" s="29">
        <f>G384</f>
        <v>953.3</v>
      </c>
      <c r="I383" s="47">
        <f>I384</f>
        <v>1153.3</v>
      </c>
      <c r="K383" s="47">
        <f>K384</f>
        <v>823.3</v>
      </c>
      <c r="M383" s="47">
        <f>M384</f>
        <v>1003.3</v>
      </c>
      <c r="O383" s="47">
        <f>O384</f>
        <v>1003.3</v>
      </c>
      <c r="P383" s="30"/>
      <c r="Q383" s="47">
        <f>Q384</f>
        <v>1003.3</v>
      </c>
      <c r="S383" s="47">
        <f>S384</f>
        <v>1003.3</v>
      </c>
      <c r="V383" s="47">
        <f>V384</f>
        <v>1003.3</v>
      </c>
      <c r="X383" s="47">
        <f>X384</f>
        <v>1003.3</v>
      </c>
      <c r="Z383" s="47">
        <f>Z384</f>
        <v>1003.3</v>
      </c>
      <c r="AA383" s="47">
        <f>AA384</f>
        <v>736.42</v>
      </c>
      <c r="AB383" s="85">
        <f t="shared" si="337"/>
        <v>0.73399780723612085</v>
      </c>
    </row>
    <row r="384" spans="1:28" x14ac:dyDescent="0.25">
      <c r="A384" s="43" t="s">
        <v>244</v>
      </c>
      <c r="B384" s="40"/>
      <c r="C384" s="40" t="s">
        <v>68</v>
      </c>
      <c r="D384" s="40" t="s">
        <v>20</v>
      </c>
      <c r="E384" s="40" t="s">
        <v>249</v>
      </c>
      <c r="F384" s="40" t="s">
        <v>225</v>
      </c>
      <c r="G384" s="29">
        <f>671.5+281.8</f>
        <v>953.3</v>
      </c>
      <c r="I384" s="47">
        <f>G384+H384+200</f>
        <v>1153.3</v>
      </c>
      <c r="J384" s="28">
        <f>-200-130</f>
        <v>-330</v>
      </c>
      <c r="K384" s="47">
        <f>I384+J384</f>
        <v>823.3</v>
      </c>
      <c r="L384" s="30">
        <f>130+50</f>
        <v>180</v>
      </c>
      <c r="M384" s="47">
        <f>K384+L384</f>
        <v>1003.3</v>
      </c>
      <c r="O384" s="47">
        <f>M384+N384</f>
        <v>1003.3</v>
      </c>
      <c r="P384" s="30"/>
      <c r="Q384" s="47">
        <f>O384+P384</f>
        <v>1003.3</v>
      </c>
      <c r="S384" s="47">
        <f>Q384+R384</f>
        <v>1003.3</v>
      </c>
      <c r="V384" s="47">
        <f>S384+U384</f>
        <v>1003.3</v>
      </c>
      <c r="X384" s="47">
        <f>V384+W384</f>
        <v>1003.3</v>
      </c>
      <c r="Z384" s="47">
        <f>X384+Y384</f>
        <v>1003.3</v>
      </c>
      <c r="AA384" s="86">
        <f>802-65.58</f>
        <v>736.42</v>
      </c>
      <c r="AB384" s="85">
        <f t="shared" si="337"/>
        <v>0.73399780723612085</v>
      </c>
    </row>
    <row r="385" spans="1:28" x14ac:dyDescent="0.25">
      <c r="A385" s="45" t="s">
        <v>590</v>
      </c>
      <c r="B385" s="40"/>
      <c r="C385" s="40" t="s">
        <v>68</v>
      </c>
      <c r="D385" s="40" t="s">
        <v>20</v>
      </c>
      <c r="E385" s="40" t="s">
        <v>593</v>
      </c>
      <c r="F385" s="40"/>
      <c r="G385" s="29"/>
      <c r="I385" s="47">
        <v>0</v>
      </c>
      <c r="K385" s="47"/>
      <c r="M385" s="47"/>
      <c r="O385" s="47"/>
      <c r="P385" s="30"/>
      <c r="Q385" s="47"/>
      <c r="S385" s="47">
        <f>S386</f>
        <v>91.5</v>
      </c>
      <c r="V385" s="47">
        <f>V386</f>
        <v>91.5</v>
      </c>
      <c r="X385" s="47">
        <f>X386</f>
        <v>91.5</v>
      </c>
      <c r="Z385" s="47">
        <f>Z386</f>
        <v>91.5</v>
      </c>
      <c r="AA385" s="47">
        <f>AA386</f>
        <v>65.58</v>
      </c>
      <c r="AB385" s="85">
        <f t="shared" si="337"/>
        <v>0.71672131147540985</v>
      </c>
    </row>
    <row r="386" spans="1:28" x14ac:dyDescent="0.25">
      <c r="A386" s="43" t="s">
        <v>244</v>
      </c>
      <c r="B386" s="40"/>
      <c r="C386" s="40" t="s">
        <v>68</v>
      </c>
      <c r="D386" s="40" t="s">
        <v>20</v>
      </c>
      <c r="E386" s="40" t="s">
        <v>593</v>
      </c>
      <c r="F386" s="40" t="s">
        <v>225</v>
      </c>
      <c r="G386" s="29"/>
      <c r="I386" s="47">
        <v>0</v>
      </c>
      <c r="K386" s="47"/>
      <c r="M386" s="47"/>
      <c r="O386" s="47"/>
      <c r="P386" s="30"/>
      <c r="Q386" s="47"/>
      <c r="R386" s="30">
        <v>91.5</v>
      </c>
      <c r="S386" s="47">
        <f>Q386+R386</f>
        <v>91.5</v>
      </c>
      <c r="V386" s="47">
        <f>S386+U386</f>
        <v>91.5</v>
      </c>
      <c r="X386" s="47">
        <f>V386+W386</f>
        <v>91.5</v>
      </c>
      <c r="Z386" s="47">
        <f>X386+Y386</f>
        <v>91.5</v>
      </c>
      <c r="AA386" s="86">
        <f>12.36+53.22</f>
        <v>65.58</v>
      </c>
      <c r="AB386" s="85">
        <f t="shared" si="337"/>
        <v>0.71672131147540985</v>
      </c>
    </row>
    <row r="387" spans="1:28" x14ac:dyDescent="0.25">
      <c r="A387" s="43" t="s">
        <v>589</v>
      </c>
      <c r="B387" s="40"/>
      <c r="C387" s="40" t="s">
        <v>68</v>
      </c>
      <c r="D387" s="40" t="s">
        <v>20</v>
      </c>
      <c r="E387" s="40" t="s">
        <v>487</v>
      </c>
      <c r="F387" s="40"/>
      <c r="G387" s="29"/>
      <c r="I387" s="47">
        <v>0</v>
      </c>
      <c r="K387" s="47"/>
      <c r="M387" s="47"/>
      <c r="O387" s="47"/>
      <c r="P387" s="30"/>
      <c r="Q387" s="47"/>
      <c r="S387" s="47">
        <f>S388</f>
        <v>483.48</v>
      </c>
      <c r="V387" s="47">
        <f>V388</f>
        <v>483.48</v>
      </c>
      <c r="X387" s="47">
        <f>X388</f>
        <v>483.48</v>
      </c>
      <c r="Z387" s="47">
        <f>Z388</f>
        <v>483.48</v>
      </c>
      <c r="AA387" s="47">
        <f>AA388</f>
        <v>383.94</v>
      </c>
      <c r="AB387" s="85">
        <f t="shared" si="337"/>
        <v>0.79411764705882348</v>
      </c>
    </row>
    <row r="388" spans="1:28" x14ac:dyDescent="0.25">
      <c r="A388" s="41" t="s">
        <v>298</v>
      </c>
      <c r="B388" s="40"/>
      <c r="C388" s="40" t="s">
        <v>68</v>
      </c>
      <c r="D388" s="40" t="s">
        <v>20</v>
      </c>
      <c r="E388" s="40" t="s">
        <v>487</v>
      </c>
      <c r="F388" s="40" t="s">
        <v>299</v>
      </c>
      <c r="G388" s="29"/>
      <c r="I388" s="47">
        <v>0</v>
      </c>
      <c r="K388" s="47"/>
      <c r="M388" s="47"/>
      <c r="O388" s="47"/>
      <c r="P388" s="30"/>
      <c r="Q388" s="47"/>
      <c r="R388" s="30">
        <v>483.48</v>
      </c>
      <c r="S388" s="47">
        <f>Q388+R388</f>
        <v>483.48</v>
      </c>
      <c r="V388" s="47">
        <f>S388+U388</f>
        <v>483.48</v>
      </c>
      <c r="X388" s="47">
        <f>V388+W388</f>
        <v>483.48</v>
      </c>
      <c r="Z388" s="47">
        <f>X388+Y388</f>
        <v>483.48</v>
      </c>
      <c r="AA388" s="86">
        <v>383.94</v>
      </c>
      <c r="AB388" s="85">
        <f t="shared" si="337"/>
        <v>0.79411764705882348</v>
      </c>
    </row>
    <row r="389" spans="1:28" ht="45" x14ac:dyDescent="0.25">
      <c r="A389" s="43" t="s">
        <v>521</v>
      </c>
      <c r="B389" s="40"/>
      <c r="C389" s="40" t="s">
        <v>68</v>
      </c>
      <c r="D389" s="40" t="s">
        <v>20</v>
      </c>
      <c r="E389" s="40" t="s">
        <v>588</v>
      </c>
      <c r="F389" s="40"/>
      <c r="G389" s="29"/>
      <c r="I389" s="47">
        <v>0</v>
      </c>
      <c r="K389" s="47"/>
      <c r="M389" s="47">
        <f>M390</f>
        <v>415.8</v>
      </c>
      <c r="O389" s="47">
        <f>O390</f>
        <v>415.8</v>
      </c>
      <c r="P389" s="30"/>
      <c r="Q389" s="47">
        <f>Q390</f>
        <v>415.8</v>
      </c>
      <c r="S389" s="47">
        <f>S390</f>
        <v>415.8</v>
      </c>
      <c r="V389" s="47">
        <f>V390</f>
        <v>415.8</v>
      </c>
      <c r="X389" s="47">
        <f>X390</f>
        <v>415.8</v>
      </c>
      <c r="Z389" s="47">
        <f>Z390</f>
        <v>415.8</v>
      </c>
      <c r="AA389" s="47">
        <f>AA390</f>
        <v>415.8</v>
      </c>
      <c r="AB389" s="85">
        <f t="shared" si="337"/>
        <v>1</v>
      </c>
    </row>
    <row r="390" spans="1:28" x14ac:dyDescent="0.25">
      <c r="A390" s="41" t="s">
        <v>298</v>
      </c>
      <c r="B390" s="40"/>
      <c r="C390" s="40" t="s">
        <v>68</v>
      </c>
      <c r="D390" s="40" t="s">
        <v>20</v>
      </c>
      <c r="E390" s="40" t="s">
        <v>588</v>
      </c>
      <c r="F390" s="40" t="s">
        <v>299</v>
      </c>
      <c r="G390" s="29"/>
      <c r="I390" s="47">
        <v>0</v>
      </c>
      <c r="K390" s="47"/>
      <c r="L390" s="30">
        <v>415.8</v>
      </c>
      <c r="M390" s="47">
        <f>K390+L390</f>
        <v>415.8</v>
      </c>
      <c r="O390" s="47">
        <f>M390+N390</f>
        <v>415.8</v>
      </c>
      <c r="P390" s="30"/>
      <c r="Q390" s="47">
        <f>O390+P390</f>
        <v>415.8</v>
      </c>
      <c r="S390" s="47">
        <f>Q390+R390</f>
        <v>415.8</v>
      </c>
      <c r="V390" s="47">
        <f>S390+U390</f>
        <v>415.8</v>
      </c>
      <c r="X390" s="47">
        <f>V390+W390</f>
        <v>415.8</v>
      </c>
      <c r="Z390" s="47">
        <f>X390+Y390</f>
        <v>415.8</v>
      </c>
      <c r="AA390" s="86">
        <v>415.8</v>
      </c>
      <c r="AB390" s="85">
        <f t="shared" si="337"/>
        <v>1</v>
      </c>
    </row>
    <row r="391" spans="1:28" ht="31.5" customHeight="1" x14ac:dyDescent="0.25">
      <c r="A391" s="43" t="s">
        <v>435</v>
      </c>
      <c r="B391" s="40"/>
      <c r="C391" s="40" t="s">
        <v>68</v>
      </c>
      <c r="D391" s="40" t="s">
        <v>20</v>
      </c>
      <c r="E391" s="40" t="s">
        <v>434</v>
      </c>
      <c r="F391" s="40"/>
      <c r="G391" s="29"/>
      <c r="I391" s="47">
        <v>0</v>
      </c>
      <c r="K391" s="47">
        <f>K392</f>
        <v>362.88</v>
      </c>
      <c r="M391" s="47">
        <f>M392</f>
        <v>362.88</v>
      </c>
      <c r="O391" s="47">
        <f>O392</f>
        <v>362.88</v>
      </c>
      <c r="P391" s="30"/>
      <c r="Q391" s="47">
        <f>Q392</f>
        <v>362.88</v>
      </c>
      <c r="S391" s="47">
        <f>S392</f>
        <v>1026.29</v>
      </c>
      <c r="V391" s="47">
        <f>V392</f>
        <v>1026.29</v>
      </c>
      <c r="X391" s="47">
        <f>X392</f>
        <v>1026.29</v>
      </c>
      <c r="Z391" s="47">
        <f>Z392</f>
        <v>1026.29</v>
      </c>
      <c r="AA391" s="47">
        <f>AA392</f>
        <v>889.7</v>
      </c>
      <c r="AB391" s="85">
        <f t="shared" si="337"/>
        <v>0.86690896335343814</v>
      </c>
    </row>
    <row r="392" spans="1:28" x14ac:dyDescent="0.25">
      <c r="A392" s="41" t="s">
        <v>298</v>
      </c>
      <c r="B392" s="40"/>
      <c r="C392" s="40" t="s">
        <v>68</v>
      </c>
      <c r="D392" s="40" t="s">
        <v>20</v>
      </c>
      <c r="E392" s="40" t="s">
        <v>434</v>
      </c>
      <c r="F392" s="40" t="s">
        <v>299</v>
      </c>
      <c r="G392" s="29"/>
      <c r="I392" s="47">
        <v>0</v>
      </c>
      <c r="J392" s="28">
        <v>362.88</v>
      </c>
      <c r="K392" s="47">
        <f>I392+J392</f>
        <v>362.88</v>
      </c>
      <c r="M392" s="47">
        <f>K392+L392</f>
        <v>362.88</v>
      </c>
      <c r="O392" s="47">
        <f>M392+N392</f>
        <v>362.88</v>
      </c>
      <c r="P392" s="30"/>
      <c r="Q392" s="47">
        <f>O392+P392</f>
        <v>362.88</v>
      </c>
      <c r="R392" s="30">
        <v>663.41</v>
      </c>
      <c r="S392" s="47">
        <f>Q392+R392</f>
        <v>1026.29</v>
      </c>
      <c r="V392" s="47">
        <f>S392+U392</f>
        <v>1026.29</v>
      </c>
      <c r="X392" s="47">
        <f>V392+W392</f>
        <v>1026.29</v>
      </c>
      <c r="Z392" s="47">
        <f>X392+Y392</f>
        <v>1026.29</v>
      </c>
      <c r="AA392" s="86">
        <v>889.7</v>
      </c>
      <c r="AB392" s="85">
        <f t="shared" si="337"/>
        <v>0.86690896335343814</v>
      </c>
    </row>
    <row r="393" spans="1:28" ht="33" customHeight="1" x14ac:dyDescent="0.25">
      <c r="A393" s="19" t="s">
        <v>399</v>
      </c>
      <c r="B393" s="40"/>
      <c r="C393" s="40" t="s">
        <v>68</v>
      </c>
      <c r="D393" s="40" t="s">
        <v>20</v>
      </c>
      <c r="E393" s="40" t="s">
        <v>300</v>
      </c>
      <c r="F393" s="40"/>
      <c r="G393" s="29">
        <f>G394</f>
        <v>1425.6</v>
      </c>
      <c r="I393" s="47">
        <f>I394</f>
        <v>1425.6</v>
      </c>
      <c r="K393" s="47">
        <f>K394</f>
        <v>1425.6</v>
      </c>
      <c r="M393" s="47">
        <f>M394</f>
        <v>1425.6</v>
      </c>
      <c r="O393" s="47">
        <f>O394</f>
        <v>1425.6</v>
      </c>
      <c r="P393" s="30"/>
      <c r="Q393" s="47">
        <f>Q394</f>
        <v>1425.6</v>
      </c>
      <c r="S393" s="47">
        <f>S394</f>
        <v>1425.6</v>
      </c>
      <c r="V393" s="47">
        <f>V394</f>
        <v>1425.6</v>
      </c>
      <c r="X393" s="47">
        <f>X394</f>
        <v>1425.6</v>
      </c>
      <c r="Z393" s="47">
        <f>Z394</f>
        <v>1425.6</v>
      </c>
      <c r="AA393" s="47">
        <f>AA394</f>
        <v>1334.55</v>
      </c>
      <c r="AB393" s="85">
        <f t="shared" si="337"/>
        <v>0.93613215488215495</v>
      </c>
    </row>
    <row r="394" spans="1:28" x14ac:dyDescent="0.25">
      <c r="A394" s="41" t="s">
        <v>302</v>
      </c>
      <c r="B394" s="40"/>
      <c r="C394" s="40" t="s">
        <v>68</v>
      </c>
      <c r="D394" s="40" t="s">
        <v>20</v>
      </c>
      <c r="E394" s="40" t="s">
        <v>300</v>
      </c>
      <c r="F394" s="40" t="s">
        <v>301</v>
      </c>
      <c r="G394" s="29">
        <v>1425.6</v>
      </c>
      <c r="I394" s="47">
        <f t="shared" si="392"/>
        <v>1425.6</v>
      </c>
      <c r="K394" s="47">
        <f t="shared" si="392"/>
        <v>1425.6</v>
      </c>
      <c r="M394" s="47">
        <f t="shared" ref="M394" si="397">K394+L394</f>
        <v>1425.6</v>
      </c>
      <c r="O394" s="47">
        <f t="shared" ref="O394" si="398">M394+N394</f>
        <v>1425.6</v>
      </c>
      <c r="P394" s="30"/>
      <c r="Q394" s="47">
        <f t="shared" ref="Q394" si="399">O394+P394</f>
        <v>1425.6</v>
      </c>
      <c r="S394" s="47">
        <f t="shared" ref="S394" si="400">Q394+R394</f>
        <v>1425.6</v>
      </c>
      <c r="V394" s="47">
        <f>S394+U394</f>
        <v>1425.6</v>
      </c>
      <c r="X394" s="47">
        <f>V394+W394</f>
        <v>1425.6</v>
      </c>
      <c r="Z394" s="47">
        <f>X394+Y394</f>
        <v>1425.6</v>
      </c>
      <c r="AA394" s="86">
        <v>1334.55</v>
      </c>
      <c r="AB394" s="85">
        <f t="shared" si="337"/>
        <v>0.93613215488215495</v>
      </c>
    </row>
    <row r="395" spans="1:28" x14ac:dyDescent="0.25">
      <c r="A395" s="42" t="s">
        <v>74</v>
      </c>
      <c r="B395" s="40"/>
      <c r="C395" s="35" t="s">
        <v>68</v>
      </c>
      <c r="D395" s="35" t="s">
        <v>24</v>
      </c>
      <c r="E395" s="35"/>
      <c r="F395" s="35"/>
      <c r="G395" s="36"/>
      <c r="H395" s="56"/>
      <c r="I395" s="48">
        <v>0</v>
      </c>
      <c r="J395" s="57"/>
      <c r="K395" s="48">
        <f>K396</f>
        <v>487</v>
      </c>
      <c r="L395" s="66"/>
      <c r="M395" s="48">
        <f>M396</f>
        <v>487</v>
      </c>
      <c r="N395" s="66"/>
      <c r="O395" s="48">
        <f>O396</f>
        <v>487</v>
      </c>
      <c r="P395" s="66"/>
      <c r="Q395" s="48">
        <f>Q396</f>
        <v>487</v>
      </c>
      <c r="R395" s="66"/>
      <c r="S395" s="48">
        <f>S396</f>
        <v>487</v>
      </c>
      <c r="T395" s="83"/>
      <c r="U395" s="66"/>
      <c r="V395" s="48">
        <f>V396</f>
        <v>487</v>
      </c>
      <c r="W395" s="66"/>
      <c r="X395" s="48">
        <f>X396</f>
        <v>487</v>
      </c>
      <c r="Y395" s="66"/>
      <c r="Z395" s="48">
        <f>Z396</f>
        <v>487</v>
      </c>
      <c r="AA395" s="48">
        <f>AA396</f>
        <v>483</v>
      </c>
      <c r="AB395" s="87">
        <f t="shared" si="337"/>
        <v>0.99178644763860369</v>
      </c>
    </row>
    <row r="396" spans="1:28" ht="31.5" x14ac:dyDescent="0.25">
      <c r="A396" s="19" t="s">
        <v>429</v>
      </c>
      <c r="B396" s="40"/>
      <c r="C396" s="40" t="s">
        <v>68</v>
      </c>
      <c r="D396" s="40" t="s">
        <v>24</v>
      </c>
      <c r="E396" s="40" t="s">
        <v>428</v>
      </c>
      <c r="F396" s="40"/>
      <c r="G396" s="29"/>
      <c r="I396" s="47">
        <v>0</v>
      </c>
      <c r="K396" s="47">
        <f>K397</f>
        <v>487</v>
      </c>
      <c r="M396" s="47">
        <f>M397</f>
        <v>487</v>
      </c>
      <c r="O396" s="47">
        <f>O397</f>
        <v>487</v>
      </c>
      <c r="P396" s="30"/>
      <c r="Q396" s="47">
        <f>Q397</f>
        <v>487</v>
      </c>
      <c r="S396" s="47">
        <f>S397</f>
        <v>487</v>
      </c>
      <c r="V396" s="47">
        <f>V397</f>
        <v>487</v>
      </c>
      <c r="X396" s="47">
        <f>X397</f>
        <v>487</v>
      </c>
      <c r="Z396" s="47">
        <f>Z397</f>
        <v>487</v>
      </c>
      <c r="AA396" s="47">
        <f>AA397</f>
        <v>483</v>
      </c>
      <c r="AB396" s="85">
        <f t="shared" si="337"/>
        <v>0.99178644763860369</v>
      </c>
    </row>
    <row r="397" spans="1:28" ht="15.75" customHeight="1" x14ac:dyDescent="0.25">
      <c r="A397" s="19" t="s">
        <v>329</v>
      </c>
      <c r="B397" s="40"/>
      <c r="C397" s="40" t="s">
        <v>68</v>
      </c>
      <c r="D397" s="40" t="s">
        <v>24</v>
      </c>
      <c r="E397" s="40" t="s">
        <v>428</v>
      </c>
      <c r="F397" s="40" t="s">
        <v>325</v>
      </c>
      <c r="G397" s="29"/>
      <c r="I397" s="47">
        <v>0</v>
      </c>
      <c r="J397" s="28">
        <v>487</v>
      </c>
      <c r="K397" s="47">
        <f t="shared" ref="K397" si="401">I397+J397</f>
        <v>487</v>
      </c>
      <c r="M397" s="47">
        <f t="shared" ref="M397" si="402">K397+L397</f>
        <v>487</v>
      </c>
      <c r="O397" s="47">
        <f t="shared" ref="O397" si="403">M397+N397</f>
        <v>487</v>
      </c>
      <c r="P397" s="30"/>
      <c r="Q397" s="47">
        <f t="shared" ref="Q397" si="404">O397+P397</f>
        <v>487</v>
      </c>
      <c r="S397" s="47">
        <f t="shared" ref="S397" si="405">Q397+R397</f>
        <v>487</v>
      </c>
      <c r="V397" s="47">
        <f>S397+U397</f>
        <v>487</v>
      </c>
      <c r="X397" s="47">
        <f>V397+W397</f>
        <v>487</v>
      </c>
      <c r="Z397" s="47">
        <f>X397+Y397</f>
        <v>487</v>
      </c>
      <c r="AA397" s="86">
        <v>483</v>
      </c>
      <c r="AB397" s="85">
        <f t="shared" ref="AB397:AB460" si="406">AA397/Z397</f>
        <v>0.99178644763860369</v>
      </c>
    </row>
    <row r="398" spans="1:28" x14ac:dyDescent="0.25">
      <c r="A398" s="34" t="s">
        <v>105</v>
      </c>
      <c r="B398" s="35"/>
      <c r="C398" s="35" t="s">
        <v>68</v>
      </c>
      <c r="D398" s="35" t="s">
        <v>98</v>
      </c>
      <c r="E398" s="35"/>
      <c r="F398" s="35"/>
      <c r="G398" s="36">
        <f>G399+G408+G404+G412</f>
        <v>5487.7</v>
      </c>
      <c r="I398" s="48">
        <f>I399+I408+I404+I412</f>
        <v>5645.0999999999995</v>
      </c>
      <c r="K398" s="48">
        <f>K399+K408+K404+K412</f>
        <v>5521.8</v>
      </c>
      <c r="M398" s="48">
        <f>M399+M408+M404+M412</f>
        <v>5499.56</v>
      </c>
      <c r="O398" s="48">
        <f>O399+O408+O404+O412</f>
        <v>4828.7599999999993</v>
      </c>
      <c r="P398" s="30"/>
      <c r="Q398" s="48">
        <f>Q399+Q408+Q404+Q412</f>
        <v>4828.7599999999993</v>
      </c>
      <c r="S398" s="48">
        <f>S399+S408+S404+S412</f>
        <v>4828.7599999999993</v>
      </c>
      <c r="V398" s="48">
        <f>V399+V408+V404+V412</f>
        <v>4828.7599999999993</v>
      </c>
      <c r="X398" s="48">
        <f>X399+X408+X404+X412</f>
        <v>4846.3900000000003</v>
      </c>
      <c r="Z398" s="48">
        <f>Z399+Z408+Z404+Z412</f>
        <v>4846.3900000000003</v>
      </c>
      <c r="AA398" s="48">
        <f>AA399+AA408+AA404+AA412</f>
        <v>4681.6400000000003</v>
      </c>
      <c r="AB398" s="87">
        <f t="shared" si="406"/>
        <v>0.96600562480526742</v>
      </c>
    </row>
    <row r="399" spans="1:28" x14ac:dyDescent="0.25">
      <c r="A399" s="41" t="s">
        <v>253</v>
      </c>
      <c r="B399" s="40"/>
      <c r="C399" s="40" t="s">
        <v>68</v>
      </c>
      <c r="D399" s="40" t="s">
        <v>98</v>
      </c>
      <c r="E399" s="40" t="s">
        <v>23</v>
      </c>
      <c r="F399" s="40"/>
      <c r="G399" s="29">
        <f>G400+G401+G402</f>
        <v>3430</v>
      </c>
      <c r="I399" s="47">
        <f>I400+I401+I402</f>
        <v>3587.4</v>
      </c>
      <c r="K399" s="47">
        <f>K400+K401+K402+K403</f>
        <v>3464.1</v>
      </c>
      <c r="M399" s="47">
        <f>M400+M401+M402+M403</f>
        <v>3441.86</v>
      </c>
      <c r="O399" s="47">
        <f>O400+O401+O402+O403</f>
        <v>3271.06</v>
      </c>
      <c r="P399" s="30"/>
      <c r="Q399" s="47">
        <f>Q400+Q401+Q402+Q403</f>
        <v>3271.06</v>
      </c>
      <c r="S399" s="47">
        <f>S400+S401+S402+S403</f>
        <v>3271.06</v>
      </c>
      <c r="V399" s="47">
        <f>V400+V401+V402+V403</f>
        <v>3271.06</v>
      </c>
      <c r="X399" s="47">
        <f>X400+X401+X402+X403</f>
        <v>3271.06</v>
      </c>
      <c r="Z399" s="47">
        <f>Z400+Z401+Z402+Z403</f>
        <v>3271.06</v>
      </c>
      <c r="AA399" s="47">
        <f>AA400+AA401+AA402+AA403</f>
        <v>3143.86</v>
      </c>
      <c r="AB399" s="85">
        <f t="shared" si="406"/>
        <v>0.96111352283357698</v>
      </c>
    </row>
    <row r="400" spans="1:28" x14ac:dyDescent="0.25">
      <c r="A400" s="19" t="s">
        <v>217</v>
      </c>
      <c r="B400" s="40"/>
      <c r="C400" s="40" t="s">
        <v>68</v>
      </c>
      <c r="D400" s="40" t="s">
        <v>98</v>
      </c>
      <c r="E400" s="40" t="s">
        <v>23</v>
      </c>
      <c r="F400" s="40" t="s">
        <v>218</v>
      </c>
      <c r="G400" s="29">
        <f>2225.5+761.1+209.4</f>
        <v>3196</v>
      </c>
      <c r="H400" s="52">
        <v>157.4</v>
      </c>
      <c r="I400" s="47">
        <f t="shared" ref="I400:K413" si="407">G400+H400</f>
        <v>3353.4</v>
      </c>
      <c r="J400" s="30">
        <v>-123.3</v>
      </c>
      <c r="K400" s="47">
        <f t="shared" si="407"/>
        <v>3230.1</v>
      </c>
      <c r="L400" s="30">
        <v>-31.73</v>
      </c>
      <c r="M400" s="47">
        <f t="shared" ref="M400:M403" si="408">K400+L400</f>
        <v>3198.37</v>
      </c>
      <c r="N400" s="30">
        <v>-170.8</v>
      </c>
      <c r="O400" s="47">
        <f t="shared" ref="O400:O403" si="409">M400+N400</f>
        <v>3027.5699999999997</v>
      </c>
      <c r="P400" s="30"/>
      <c r="Q400" s="47">
        <f t="shared" ref="Q400:Q403" si="410">O400+P400</f>
        <v>3027.5699999999997</v>
      </c>
      <c r="S400" s="47">
        <f t="shared" ref="S400:S403" si="411">Q400+R400</f>
        <v>3027.5699999999997</v>
      </c>
      <c r="V400" s="47">
        <f>S400+U400</f>
        <v>3027.5699999999997</v>
      </c>
      <c r="X400" s="47">
        <f>V400+W400</f>
        <v>3027.5699999999997</v>
      </c>
      <c r="Z400" s="47">
        <f>X400+Y400</f>
        <v>3027.5699999999997</v>
      </c>
      <c r="AA400" s="86">
        <v>2999.9</v>
      </c>
      <c r="AB400" s="85">
        <f t="shared" si="406"/>
        <v>0.99086065722675298</v>
      </c>
    </row>
    <row r="401" spans="1:28" ht="15.75" customHeight="1" x14ac:dyDescent="0.25">
      <c r="A401" s="19" t="s">
        <v>223</v>
      </c>
      <c r="B401" s="40"/>
      <c r="C401" s="40" t="s">
        <v>68</v>
      </c>
      <c r="D401" s="40" t="s">
        <v>98</v>
      </c>
      <c r="E401" s="40" t="s">
        <v>23</v>
      </c>
      <c r="F401" s="40" t="s">
        <v>224</v>
      </c>
      <c r="G401" s="29">
        <f>6+30+15+0.4</f>
        <v>51.4</v>
      </c>
      <c r="I401" s="47">
        <f t="shared" si="407"/>
        <v>51.4</v>
      </c>
      <c r="K401" s="47">
        <f t="shared" si="407"/>
        <v>51.4</v>
      </c>
      <c r="M401" s="47">
        <f t="shared" si="408"/>
        <v>51.4</v>
      </c>
      <c r="O401" s="47">
        <f t="shared" si="409"/>
        <v>51.4</v>
      </c>
      <c r="P401" s="30"/>
      <c r="Q401" s="47">
        <f t="shared" si="410"/>
        <v>51.4</v>
      </c>
      <c r="S401" s="47">
        <f t="shared" si="411"/>
        <v>51.4</v>
      </c>
      <c r="V401" s="47">
        <f>S401+U401</f>
        <v>51.4</v>
      </c>
      <c r="X401" s="47">
        <f>V401+W401</f>
        <v>51.4</v>
      </c>
      <c r="Z401" s="47">
        <f>X401+Y401</f>
        <v>51.4</v>
      </c>
      <c r="AA401" s="86">
        <v>14.86</v>
      </c>
      <c r="AB401" s="85">
        <f t="shared" si="406"/>
        <v>0.28910505836575873</v>
      </c>
    </row>
    <row r="402" spans="1:28" x14ac:dyDescent="0.25">
      <c r="A402" s="43" t="s">
        <v>244</v>
      </c>
      <c r="B402" s="40"/>
      <c r="C402" s="40" t="s">
        <v>68</v>
      </c>
      <c r="D402" s="40" t="s">
        <v>98</v>
      </c>
      <c r="E402" s="40" t="s">
        <v>23</v>
      </c>
      <c r="F402" s="40" t="s">
        <v>225</v>
      </c>
      <c r="G402" s="29">
        <f>1+8.4+19.6+153.6</f>
        <v>182.6</v>
      </c>
      <c r="I402" s="47">
        <f t="shared" si="407"/>
        <v>182.6</v>
      </c>
      <c r="J402" s="28">
        <v>-16</v>
      </c>
      <c r="K402" s="47">
        <f t="shared" si="407"/>
        <v>166.6</v>
      </c>
      <c r="L402" s="30">
        <v>9.49</v>
      </c>
      <c r="M402" s="47">
        <f t="shared" si="408"/>
        <v>176.09</v>
      </c>
      <c r="O402" s="47">
        <f t="shared" si="409"/>
        <v>176.09</v>
      </c>
      <c r="P402" s="30"/>
      <c r="Q402" s="47">
        <f t="shared" si="410"/>
        <v>176.09</v>
      </c>
      <c r="S402" s="47">
        <f t="shared" si="411"/>
        <v>176.09</v>
      </c>
      <c r="V402" s="47">
        <f>S402+U402</f>
        <v>176.09</v>
      </c>
      <c r="X402" s="47">
        <f>V402+W402</f>
        <v>176.09</v>
      </c>
      <c r="Z402" s="47">
        <f>X402+Y402+4</f>
        <v>180.09</v>
      </c>
      <c r="AA402" s="86">
        <v>129.1</v>
      </c>
      <c r="AB402" s="85">
        <f t="shared" si="406"/>
        <v>0.7168637903270586</v>
      </c>
    </row>
    <row r="403" spans="1:28" ht="32.25" customHeight="1" x14ac:dyDescent="0.25">
      <c r="A403" s="19" t="s">
        <v>329</v>
      </c>
      <c r="B403" s="40"/>
      <c r="C403" s="40" t="s">
        <v>68</v>
      </c>
      <c r="D403" s="40" t="s">
        <v>98</v>
      </c>
      <c r="E403" s="40" t="s">
        <v>23</v>
      </c>
      <c r="F403" s="40" t="s">
        <v>325</v>
      </c>
      <c r="G403" s="29"/>
      <c r="I403" s="47">
        <v>0</v>
      </c>
      <c r="J403" s="28">
        <v>16</v>
      </c>
      <c r="K403" s="47">
        <f t="shared" si="407"/>
        <v>16</v>
      </c>
      <c r="M403" s="47">
        <f t="shared" si="408"/>
        <v>16</v>
      </c>
      <c r="O403" s="47">
        <f t="shared" si="409"/>
        <v>16</v>
      </c>
      <c r="P403" s="30"/>
      <c r="Q403" s="47">
        <f t="shared" si="410"/>
        <v>16</v>
      </c>
      <c r="S403" s="47">
        <f t="shared" si="411"/>
        <v>16</v>
      </c>
      <c r="V403" s="47">
        <f>S403+U403</f>
        <v>16</v>
      </c>
      <c r="X403" s="47">
        <f>V403+W403</f>
        <v>16</v>
      </c>
      <c r="Z403" s="47">
        <f>X403+Y403-4</f>
        <v>12</v>
      </c>
      <c r="AA403" s="86">
        <v>0</v>
      </c>
      <c r="AB403" s="85">
        <f t="shared" si="406"/>
        <v>0</v>
      </c>
    </row>
    <row r="404" spans="1:28" ht="30.75" customHeight="1" x14ac:dyDescent="0.25">
      <c r="A404" s="19" t="s">
        <v>306</v>
      </c>
      <c r="B404" s="40"/>
      <c r="C404" s="40" t="s">
        <v>68</v>
      </c>
      <c r="D404" s="40" t="s">
        <v>98</v>
      </c>
      <c r="E404" s="40" t="s">
        <v>352</v>
      </c>
      <c r="F404" s="40"/>
      <c r="G404" s="29">
        <f>G405+G407+G406</f>
        <v>864</v>
      </c>
      <c r="I404" s="47">
        <f>I405+I407+I406</f>
        <v>864</v>
      </c>
      <c r="K404" s="47">
        <f>K405+K407+K406</f>
        <v>864</v>
      </c>
      <c r="M404" s="47">
        <f>M405+M407+M406</f>
        <v>864</v>
      </c>
      <c r="O404" s="47">
        <f>O405+O407+O406</f>
        <v>864</v>
      </c>
      <c r="P404" s="30"/>
      <c r="Q404" s="47">
        <f>Q405+Q407+Q406</f>
        <v>864</v>
      </c>
      <c r="S404" s="47">
        <f>S405+S407+S406</f>
        <v>864</v>
      </c>
      <c r="V404" s="47">
        <f>V405+V407+V406</f>
        <v>864</v>
      </c>
      <c r="X404" s="47">
        <f>X405+X407+X406</f>
        <v>864</v>
      </c>
      <c r="Z404" s="47">
        <f>Z405+Z407+Z406</f>
        <v>864</v>
      </c>
      <c r="AA404" s="47">
        <f>AA405+AA407+AA406</f>
        <v>841.2</v>
      </c>
      <c r="AB404" s="85">
        <f t="shared" si="406"/>
        <v>0.9736111111111112</v>
      </c>
    </row>
    <row r="405" spans="1:28" x14ac:dyDescent="0.25">
      <c r="A405" s="19" t="s">
        <v>217</v>
      </c>
      <c r="B405" s="40"/>
      <c r="C405" s="40" t="s">
        <v>68</v>
      </c>
      <c r="D405" s="40" t="s">
        <v>98</v>
      </c>
      <c r="E405" s="40" t="s">
        <v>352</v>
      </c>
      <c r="F405" s="40" t="s">
        <v>218</v>
      </c>
      <c r="G405" s="29">
        <v>805.2</v>
      </c>
      <c r="I405" s="47">
        <f t="shared" si="407"/>
        <v>805.2</v>
      </c>
      <c r="K405" s="47">
        <f t="shared" si="407"/>
        <v>805.2</v>
      </c>
      <c r="M405" s="47">
        <f t="shared" ref="M405:M407" si="412">K405+L405</f>
        <v>805.2</v>
      </c>
      <c r="O405" s="47">
        <f t="shared" ref="O405:O407" si="413">M405+N405</f>
        <v>805.2</v>
      </c>
      <c r="P405" s="30"/>
      <c r="Q405" s="47">
        <f t="shared" ref="Q405:Q407" si="414">O405+P405</f>
        <v>805.2</v>
      </c>
      <c r="S405" s="47">
        <f t="shared" ref="S405:S407" si="415">Q405+R405</f>
        <v>805.2</v>
      </c>
      <c r="V405" s="47">
        <f>S405+U405</f>
        <v>805.2</v>
      </c>
      <c r="X405" s="47">
        <f>V405+W405</f>
        <v>805.2</v>
      </c>
      <c r="Y405" s="30">
        <v>-53.8</v>
      </c>
      <c r="Z405" s="47">
        <f>X405+Y405</f>
        <v>751.40000000000009</v>
      </c>
      <c r="AA405" s="86">
        <v>728.7</v>
      </c>
      <c r="AB405" s="85">
        <f t="shared" si="406"/>
        <v>0.96978972584508916</v>
      </c>
    </row>
    <row r="406" spans="1:28" ht="15" customHeight="1" x14ac:dyDescent="0.25">
      <c r="A406" s="19" t="s">
        <v>223</v>
      </c>
      <c r="B406" s="40"/>
      <c r="C406" s="40" t="s">
        <v>68</v>
      </c>
      <c r="D406" s="40" t="s">
        <v>98</v>
      </c>
      <c r="E406" s="40" t="s">
        <v>352</v>
      </c>
      <c r="F406" s="40" t="s">
        <v>224</v>
      </c>
      <c r="G406" s="29">
        <v>19</v>
      </c>
      <c r="I406" s="47">
        <f t="shared" si="407"/>
        <v>19</v>
      </c>
      <c r="K406" s="47">
        <f t="shared" si="407"/>
        <v>19</v>
      </c>
      <c r="M406" s="47">
        <f t="shared" si="412"/>
        <v>19</v>
      </c>
      <c r="O406" s="47">
        <f t="shared" si="413"/>
        <v>19</v>
      </c>
      <c r="P406" s="30"/>
      <c r="Q406" s="47">
        <f t="shared" si="414"/>
        <v>19</v>
      </c>
      <c r="S406" s="47">
        <f t="shared" si="415"/>
        <v>19</v>
      </c>
      <c r="V406" s="47">
        <f>S406+U406</f>
        <v>19</v>
      </c>
      <c r="X406" s="47">
        <f>V406+W406</f>
        <v>19</v>
      </c>
      <c r="Y406" s="30">
        <v>76.8</v>
      </c>
      <c r="Z406" s="47">
        <f>X406+Y406</f>
        <v>95.8</v>
      </c>
      <c r="AA406" s="86">
        <v>95.7</v>
      </c>
      <c r="AB406" s="85">
        <f t="shared" si="406"/>
        <v>0.9989561586638831</v>
      </c>
    </row>
    <row r="407" spans="1:28" x14ac:dyDescent="0.25">
      <c r="A407" s="43" t="s">
        <v>244</v>
      </c>
      <c r="B407" s="40"/>
      <c r="C407" s="40" t="s">
        <v>68</v>
      </c>
      <c r="D407" s="40" t="s">
        <v>98</v>
      </c>
      <c r="E407" s="40" t="s">
        <v>353</v>
      </c>
      <c r="F407" s="40" t="s">
        <v>225</v>
      </c>
      <c r="G407" s="29">
        <v>39.799999999999997</v>
      </c>
      <c r="I407" s="47">
        <f t="shared" si="407"/>
        <v>39.799999999999997</v>
      </c>
      <c r="K407" s="47">
        <f t="shared" si="407"/>
        <v>39.799999999999997</v>
      </c>
      <c r="M407" s="47">
        <f t="shared" si="412"/>
        <v>39.799999999999997</v>
      </c>
      <c r="O407" s="47">
        <f t="shared" si="413"/>
        <v>39.799999999999997</v>
      </c>
      <c r="P407" s="30"/>
      <c r="Q407" s="47">
        <f t="shared" si="414"/>
        <v>39.799999999999997</v>
      </c>
      <c r="S407" s="47">
        <f t="shared" si="415"/>
        <v>39.799999999999997</v>
      </c>
      <c r="V407" s="47">
        <f>S407+U407</f>
        <v>39.799999999999997</v>
      </c>
      <c r="X407" s="47">
        <f>V407+W407</f>
        <v>39.799999999999997</v>
      </c>
      <c r="Y407" s="30">
        <v>-23</v>
      </c>
      <c r="Z407" s="47">
        <f>X407+Y407</f>
        <v>16.799999999999997</v>
      </c>
      <c r="AA407" s="86">
        <v>16.8</v>
      </c>
      <c r="AB407" s="85">
        <f t="shared" si="406"/>
        <v>1.0000000000000002</v>
      </c>
    </row>
    <row r="408" spans="1:28" ht="27.75" customHeight="1" x14ac:dyDescent="0.25">
      <c r="A408" s="19" t="s">
        <v>305</v>
      </c>
      <c r="B408" s="40"/>
      <c r="C408" s="40" t="s">
        <v>68</v>
      </c>
      <c r="D408" s="40" t="s">
        <v>98</v>
      </c>
      <c r="E408" s="40" t="s">
        <v>351</v>
      </c>
      <c r="F408" s="40"/>
      <c r="G408" s="29">
        <f>G409+G411+G410</f>
        <v>92</v>
      </c>
      <c r="I408" s="47">
        <f>I409+I411+I410</f>
        <v>92</v>
      </c>
      <c r="K408" s="47">
        <f>K409+K411+K410</f>
        <v>92</v>
      </c>
      <c r="M408" s="47">
        <f>M409+M411+M410</f>
        <v>92</v>
      </c>
      <c r="O408" s="47">
        <f>O409+O411+O410</f>
        <v>92</v>
      </c>
      <c r="P408" s="30"/>
      <c r="Q408" s="47">
        <f>Q409+Q411+Q410</f>
        <v>92</v>
      </c>
      <c r="S408" s="47">
        <f>S409+S411+S410</f>
        <v>92</v>
      </c>
      <c r="V408" s="47">
        <f>V409+V411+V410</f>
        <v>92</v>
      </c>
      <c r="X408" s="47">
        <f>X409+X411+X410</f>
        <v>109.63</v>
      </c>
      <c r="Z408" s="47">
        <f>Z409+Z411+Z410</f>
        <v>109.63</v>
      </c>
      <c r="AA408" s="47">
        <f>AA409+AA411+AA410</f>
        <v>106.58</v>
      </c>
      <c r="AB408" s="85">
        <f t="shared" si="406"/>
        <v>0.97217914804341876</v>
      </c>
    </row>
    <row r="409" spans="1:28" x14ac:dyDescent="0.25">
      <c r="A409" s="19" t="s">
        <v>217</v>
      </c>
      <c r="B409" s="40"/>
      <c r="C409" s="40" t="s">
        <v>68</v>
      </c>
      <c r="D409" s="40" t="s">
        <v>98</v>
      </c>
      <c r="E409" s="40" t="s">
        <v>351</v>
      </c>
      <c r="F409" s="40" t="s">
        <v>218</v>
      </c>
      <c r="G409" s="29">
        <v>77</v>
      </c>
      <c r="I409" s="47">
        <f t="shared" si="407"/>
        <v>77</v>
      </c>
      <c r="K409" s="47">
        <f t="shared" si="407"/>
        <v>77</v>
      </c>
      <c r="M409" s="47">
        <f t="shared" ref="M409:M411" si="416">K409+L409</f>
        <v>77</v>
      </c>
      <c r="O409" s="47">
        <f t="shared" ref="O409:O411" si="417">M409+N409</f>
        <v>77</v>
      </c>
      <c r="P409" s="30"/>
      <c r="Q409" s="47">
        <f t="shared" ref="Q409:Q411" si="418">O409+P409</f>
        <v>77</v>
      </c>
      <c r="S409" s="47">
        <f t="shared" ref="S409:S411" si="419">Q409+R409</f>
        <v>77</v>
      </c>
      <c r="V409" s="47">
        <f>S409+U409</f>
        <v>77</v>
      </c>
      <c r="W409" s="30">
        <v>17.63</v>
      </c>
      <c r="X409" s="47">
        <f>V409+W409</f>
        <v>94.63</v>
      </c>
      <c r="Z409" s="47">
        <f>X409+Y409</f>
        <v>94.63</v>
      </c>
      <c r="AA409" s="86">
        <v>92</v>
      </c>
      <c r="AB409" s="85">
        <f t="shared" si="406"/>
        <v>0.97220754517594843</v>
      </c>
    </row>
    <row r="410" spans="1:28" ht="18" customHeight="1" x14ac:dyDescent="0.25">
      <c r="A410" s="19" t="s">
        <v>223</v>
      </c>
      <c r="B410" s="40"/>
      <c r="C410" s="40" t="s">
        <v>68</v>
      </c>
      <c r="D410" s="40" t="s">
        <v>98</v>
      </c>
      <c r="E410" s="40" t="s">
        <v>351</v>
      </c>
      <c r="F410" s="40" t="s">
        <v>224</v>
      </c>
      <c r="G410" s="29">
        <v>4</v>
      </c>
      <c r="I410" s="47">
        <f t="shared" si="407"/>
        <v>4</v>
      </c>
      <c r="K410" s="47">
        <f t="shared" si="407"/>
        <v>4</v>
      </c>
      <c r="M410" s="47">
        <f t="shared" si="416"/>
        <v>4</v>
      </c>
      <c r="O410" s="47">
        <f t="shared" si="417"/>
        <v>4</v>
      </c>
      <c r="P410" s="30"/>
      <c r="Q410" s="47">
        <f t="shared" si="418"/>
        <v>4</v>
      </c>
      <c r="S410" s="47">
        <f t="shared" si="419"/>
        <v>4</v>
      </c>
      <c r="V410" s="47">
        <f>S410+U410</f>
        <v>4</v>
      </c>
      <c r="X410" s="47">
        <f>V410+W410</f>
        <v>4</v>
      </c>
      <c r="Z410" s="47">
        <f>X410+Y410</f>
        <v>4</v>
      </c>
      <c r="AA410" s="86">
        <v>4</v>
      </c>
      <c r="AB410" s="85">
        <f t="shared" si="406"/>
        <v>1</v>
      </c>
    </row>
    <row r="411" spans="1:28" x14ac:dyDescent="0.25">
      <c r="A411" s="43" t="s">
        <v>244</v>
      </c>
      <c r="B411" s="40"/>
      <c r="C411" s="40" t="s">
        <v>68</v>
      </c>
      <c r="D411" s="40" t="s">
        <v>98</v>
      </c>
      <c r="E411" s="40" t="s">
        <v>351</v>
      </c>
      <c r="F411" s="40" t="s">
        <v>225</v>
      </c>
      <c r="G411" s="29">
        <v>11</v>
      </c>
      <c r="I411" s="47">
        <f t="shared" si="407"/>
        <v>11</v>
      </c>
      <c r="K411" s="47">
        <f t="shared" si="407"/>
        <v>11</v>
      </c>
      <c r="M411" s="47">
        <f t="shared" si="416"/>
        <v>11</v>
      </c>
      <c r="O411" s="47">
        <f t="shared" si="417"/>
        <v>11</v>
      </c>
      <c r="P411" s="30"/>
      <c r="Q411" s="47">
        <f t="shared" si="418"/>
        <v>11</v>
      </c>
      <c r="S411" s="47">
        <f t="shared" si="419"/>
        <v>11</v>
      </c>
      <c r="V411" s="47">
        <f>S411+U411</f>
        <v>11</v>
      </c>
      <c r="X411" s="47">
        <f>V411+W411</f>
        <v>11</v>
      </c>
      <c r="Z411" s="47">
        <f>X411+Y411</f>
        <v>11</v>
      </c>
      <c r="AA411" s="86">
        <v>10.58</v>
      </c>
      <c r="AB411" s="85">
        <f t="shared" si="406"/>
        <v>0.96181818181818179</v>
      </c>
    </row>
    <row r="412" spans="1:28" ht="30" customHeight="1" x14ac:dyDescent="0.25">
      <c r="A412" s="19" t="s">
        <v>398</v>
      </c>
      <c r="B412" s="40"/>
      <c r="C412" s="40" t="s">
        <v>68</v>
      </c>
      <c r="D412" s="40" t="s">
        <v>98</v>
      </c>
      <c r="E412" s="40" t="s">
        <v>312</v>
      </c>
      <c r="F412" s="40"/>
      <c r="G412" s="29">
        <f>G413</f>
        <v>1101.7</v>
      </c>
      <c r="I412" s="47">
        <f>I413</f>
        <v>1101.7</v>
      </c>
      <c r="K412" s="47">
        <f>K413</f>
        <v>1101.7</v>
      </c>
      <c r="M412" s="47">
        <f>M413</f>
        <v>1101.7</v>
      </c>
      <c r="O412" s="47">
        <f>O413</f>
        <v>601.70000000000005</v>
      </c>
      <c r="P412" s="30"/>
      <c r="Q412" s="47">
        <f>Q413</f>
        <v>601.70000000000005</v>
      </c>
      <c r="S412" s="47">
        <f>S413</f>
        <v>601.70000000000005</v>
      </c>
      <c r="V412" s="47">
        <f>V413</f>
        <v>601.70000000000005</v>
      </c>
      <c r="X412" s="47">
        <f>X413</f>
        <v>601.70000000000005</v>
      </c>
      <c r="Z412" s="47">
        <f>Z413</f>
        <v>601.70000000000005</v>
      </c>
      <c r="AA412" s="47">
        <f>AA413</f>
        <v>590</v>
      </c>
      <c r="AB412" s="85">
        <f t="shared" si="406"/>
        <v>0.9805550939006149</v>
      </c>
    </row>
    <row r="413" spans="1:28" x14ac:dyDescent="0.25">
      <c r="A413" s="43" t="s">
        <v>244</v>
      </c>
      <c r="B413" s="40"/>
      <c r="C413" s="40" t="s">
        <v>68</v>
      </c>
      <c r="D413" s="40" t="s">
        <v>98</v>
      </c>
      <c r="E413" s="40" t="s">
        <v>312</v>
      </c>
      <c r="F413" s="40" t="s">
        <v>225</v>
      </c>
      <c r="G413" s="29">
        <v>1101.7</v>
      </c>
      <c r="I413" s="47">
        <f t="shared" si="407"/>
        <v>1101.7</v>
      </c>
      <c r="K413" s="47">
        <f t="shared" si="407"/>
        <v>1101.7</v>
      </c>
      <c r="M413" s="47">
        <f t="shared" ref="M413" si="420">K413+L413</f>
        <v>1101.7</v>
      </c>
      <c r="N413" s="30">
        <v>-500</v>
      </c>
      <c r="O413" s="47">
        <f t="shared" ref="O413" si="421">M413+N413</f>
        <v>601.70000000000005</v>
      </c>
      <c r="P413" s="30"/>
      <c r="Q413" s="47">
        <f t="shared" ref="Q413" si="422">O413+P413</f>
        <v>601.70000000000005</v>
      </c>
      <c r="S413" s="47">
        <f t="shared" ref="S413" si="423">Q413+R413</f>
        <v>601.70000000000005</v>
      </c>
      <c r="V413" s="47">
        <f>S413+U413</f>
        <v>601.70000000000005</v>
      </c>
      <c r="X413" s="47">
        <f>V413+W413</f>
        <v>601.70000000000005</v>
      </c>
      <c r="Z413" s="47">
        <f>X413+Y413</f>
        <v>601.70000000000005</v>
      </c>
      <c r="AA413" s="86">
        <v>590</v>
      </c>
      <c r="AB413" s="85">
        <f t="shared" si="406"/>
        <v>0.9805550939006149</v>
      </c>
    </row>
    <row r="414" spans="1:28" ht="15.75" customHeight="1" x14ac:dyDescent="0.25">
      <c r="A414" s="44" t="s">
        <v>423</v>
      </c>
      <c r="B414" s="35" t="s">
        <v>8</v>
      </c>
      <c r="C414" s="35"/>
      <c r="D414" s="35"/>
      <c r="E414" s="35"/>
      <c r="F414" s="35"/>
      <c r="G414" s="36">
        <f>G415+G427</f>
        <v>9275.1</v>
      </c>
      <c r="I414" s="48">
        <f>I415+I427</f>
        <v>10718.699999999999</v>
      </c>
      <c r="K414" s="48">
        <f>K415+K427</f>
        <v>10718.7</v>
      </c>
      <c r="M414" s="48">
        <f>M415+M427</f>
        <v>10649.18</v>
      </c>
      <c r="O414" s="48">
        <f>O415+O427</f>
        <v>10920.880000000001</v>
      </c>
      <c r="P414" s="30"/>
      <c r="Q414" s="48">
        <f>Q415+Q427</f>
        <v>10920.880000000001</v>
      </c>
      <c r="S414" s="48">
        <f>S415+S427</f>
        <v>11239.78</v>
      </c>
      <c r="V414" s="48">
        <f>V415+V427</f>
        <v>11239.78</v>
      </c>
      <c r="X414" s="48">
        <f>X415+X427+X424</f>
        <v>11781.140000000001</v>
      </c>
      <c r="Z414" s="48">
        <f>Z415+Z427+Z424</f>
        <v>11781.140000000001</v>
      </c>
      <c r="AA414" s="48">
        <f>AA415+AA427+AA424</f>
        <v>11776.750000000002</v>
      </c>
      <c r="AB414" s="87">
        <f t="shared" si="406"/>
        <v>0.99962737052611217</v>
      </c>
    </row>
    <row r="415" spans="1:28" x14ac:dyDescent="0.25">
      <c r="A415" s="42" t="s">
        <v>134</v>
      </c>
      <c r="B415" s="35"/>
      <c r="C415" s="35" t="s">
        <v>15</v>
      </c>
      <c r="D415" s="35"/>
      <c r="E415" s="40"/>
      <c r="F415" s="40"/>
      <c r="G415" s="29">
        <f>G416</f>
        <v>7600</v>
      </c>
      <c r="I415" s="47">
        <f>I416</f>
        <v>9043.5999999999985</v>
      </c>
      <c r="K415" s="47">
        <f>K416</f>
        <v>9043.6</v>
      </c>
      <c r="M415" s="47">
        <f>M416</f>
        <v>8974.08</v>
      </c>
      <c r="O415" s="47">
        <f>O416</f>
        <v>9245.7800000000007</v>
      </c>
      <c r="P415" s="30"/>
      <c r="Q415" s="47">
        <f>Q416</f>
        <v>9245.7800000000007</v>
      </c>
      <c r="S415" s="47">
        <f>S416</f>
        <v>9564.68</v>
      </c>
      <c r="V415" s="47">
        <f>V416</f>
        <v>9564.68</v>
      </c>
      <c r="X415" s="47">
        <f>X416</f>
        <v>9564.68</v>
      </c>
      <c r="Z415" s="47">
        <f>Z416</f>
        <v>9564.68</v>
      </c>
      <c r="AA415" s="47">
        <f>AA416</f>
        <v>9560.2900000000009</v>
      </c>
      <c r="AB415" s="85">
        <f t="shared" si="406"/>
        <v>0.99954101966819597</v>
      </c>
    </row>
    <row r="416" spans="1:28" x14ac:dyDescent="0.25">
      <c r="A416" s="42" t="s">
        <v>29</v>
      </c>
      <c r="B416" s="35"/>
      <c r="C416" s="35" t="s">
        <v>15</v>
      </c>
      <c r="D416" s="35" t="s">
        <v>195</v>
      </c>
      <c r="E416" s="40"/>
      <c r="F416" s="40"/>
      <c r="G416" s="29">
        <f>G417</f>
        <v>7600</v>
      </c>
      <c r="I416" s="47">
        <f>I417</f>
        <v>9043.5999999999985</v>
      </c>
      <c r="K416" s="47">
        <f>K417</f>
        <v>9043.6</v>
      </c>
      <c r="M416" s="47">
        <f>M417</f>
        <v>8974.08</v>
      </c>
      <c r="O416" s="47">
        <f>O417</f>
        <v>9245.7800000000007</v>
      </c>
      <c r="P416" s="30"/>
      <c r="Q416" s="47">
        <f>Q417</f>
        <v>9245.7800000000007</v>
      </c>
      <c r="S416" s="47">
        <f>S417</f>
        <v>9564.68</v>
      </c>
      <c r="V416" s="47">
        <f>V417</f>
        <v>9564.68</v>
      </c>
      <c r="X416" s="47">
        <f>X417</f>
        <v>9564.68</v>
      </c>
      <c r="Z416" s="47">
        <f>Z417</f>
        <v>9564.68</v>
      </c>
      <c r="AA416" s="47">
        <f>AA417</f>
        <v>9560.2900000000009</v>
      </c>
      <c r="AB416" s="85">
        <f t="shared" si="406"/>
        <v>0.99954101966819597</v>
      </c>
    </row>
    <row r="417" spans="1:28" x14ac:dyDescent="0.25">
      <c r="A417" s="41" t="s">
        <v>283</v>
      </c>
      <c r="B417" s="40"/>
      <c r="C417" s="40" t="s">
        <v>15</v>
      </c>
      <c r="D417" s="40" t="s">
        <v>195</v>
      </c>
      <c r="E417" s="40" t="s">
        <v>282</v>
      </c>
      <c r="F417" s="40"/>
      <c r="G417" s="29">
        <f>G418+G421</f>
        <v>7600</v>
      </c>
      <c r="I417" s="47">
        <f>I418+I421+I420</f>
        <v>9043.5999999999985</v>
      </c>
      <c r="K417" s="47">
        <f>K418+K421+K420+K423+K422</f>
        <v>9043.6</v>
      </c>
      <c r="M417" s="47">
        <f>M418+M421+M420+M423+M422</f>
        <v>8974.08</v>
      </c>
      <c r="O417" s="47">
        <f>O418+O421+O420+O423+O422</f>
        <v>9245.7800000000007</v>
      </c>
      <c r="P417" s="30"/>
      <c r="Q417" s="47">
        <f>Q418+Q421+Q420+Q423+Q422</f>
        <v>9245.7800000000007</v>
      </c>
      <c r="S417" s="47">
        <f>S418+S421+S420+S423+S422</f>
        <v>9564.68</v>
      </c>
      <c r="V417" s="47">
        <f>V418+V421+V420+V423+V422</f>
        <v>9564.68</v>
      </c>
      <c r="X417" s="47">
        <f>X418+X421+X420+X423+X422+X419</f>
        <v>9564.68</v>
      </c>
      <c r="Z417" s="47">
        <f>Z418+Z421+Z420+Z423+Z422+Z419</f>
        <v>9564.68</v>
      </c>
      <c r="AA417" s="47">
        <f>AA418+AA421+AA420+AA423+AA422+AA419</f>
        <v>9560.2900000000009</v>
      </c>
      <c r="AB417" s="85">
        <f t="shared" si="406"/>
        <v>0.99954101966819597</v>
      </c>
    </row>
    <row r="418" spans="1:28" x14ac:dyDescent="0.25">
      <c r="A418" s="19" t="s">
        <v>217</v>
      </c>
      <c r="B418" s="40"/>
      <c r="C418" s="40" t="s">
        <v>15</v>
      </c>
      <c r="D418" s="40" t="s">
        <v>195</v>
      </c>
      <c r="E418" s="40" t="s">
        <v>282</v>
      </c>
      <c r="F418" s="40" t="s">
        <v>218</v>
      </c>
      <c r="G418" s="29">
        <f>4699.2+1539</f>
        <v>6238.2</v>
      </c>
      <c r="H418" s="52">
        <f>622.2+529.9</f>
        <v>1152.0999999999999</v>
      </c>
      <c r="I418" s="47">
        <f t="shared" ref="I418:K423" si="424">G418+H418</f>
        <v>7390.2999999999993</v>
      </c>
      <c r="K418" s="47">
        <f t="shared" si="424"/>
        <v>7390.2999999999993</v>
      </c>
      <c r="L418" s="30">
        <v>-101.6</v>
      </c>
      <c r="M418" s="47">
        <f t="shared" ref="M418:M423" si="425">K418+L418</f>
        <v>7288.6999999999989</v>
      </c>
      <c r="N418" s="30">
        <v>180</v>
      </c>
      <c r="O418" s="47">
        <f t="shared" ref="O418:O423" si="426">M418+N418</f>
        <v>7468.6999999999989</v>
      </c>
      <c r="P418" s="30"/>
      <c r="Q418" s="47">
        <f t="shared" ref="Q418:Q423" si="427">O418+P418</f>
        <v>7468.6999999999989</v>
      </c>
      <c r="S418" s="47">
        <f t="shared" ref="S418:S423" si="428">Q418+R418</f>
        <v>7468.6999999999989</v>
      </c>
      <c r="V418" s="47">
        <f>S418+U418</f>
        <v>7468.6999999999989</v>
      </c>
      <c r="X418" s="47">
        <f t="shared" ref="X418:X423" si="429">V418+W418</f>
        <v>7468.6999999999989</v>
      </c>
      <c r="Z418" s="47">
        <f t="shared" ref="Z418:Z422" si="430">X418+Y418</f>
        <v>7468.6999999999989</v>
      </c>
      <c r="AA418" s="86">
        <v>7465.6</v>
      </c>
      <c r="AB418" s="85">
        <f t="shared" si="406"/>
        <v>0.99958493445981245</v>
      </c>
    </row>
    <row r="419" spans="1:28" x14ac:dyDescent="0.25">
      <c r="A419" s="19" t="s">
        <v>219</v>
      </c>
      <c r="B419" s="40"/>
      <c r="C419" s="40" t="s">
        <v>15</v>
      </c>
      <c r="D419" s="40" t="s">
        <v>195</v>
      </c>
      <c r="E419" s="40" t="s">
        <v>282</v>
      </c>
      <c r="F419" s="40" t="s">
        <v>220</v>
      </c>
      <c r="G419" s="29"/>
      <c r="I419" s="47"/>
      <c r="K419" s="47"/>
      <c r="M419" s="47"/>
      <c r="O419" s="47"/>
      <c r="P419" s="30"/>
      <c r="Q419" s="47"/>
      <c r="S419" s="47"/>
      <c r="V419" s="47"/>
      <c r="W419" s="30">
        <v>3.5</v>
      </c>
      <c r="X419" s="47">
        <f t="shared" si="429"/>
        <v>3.5</v>
      </c>
      <c r="Z419" s="47">
        <f t="shared" si="430"/>
        <v>3.5</v>
      </c>
      <c r="AA419" s="86">
        <v>3.5</v>
      </c>
      <c r="AB419" s="85">
        <f t="shared" si="406"/>
        <v>1</v>
      </c>
    </row>
    <row r="420" spans="1:28" ht="15" customHeight="1" x14ac:dyDescent="0.25">
      <c r="A420" s="19" t="s">
        <v>223</v>
      </c>
      <c r="B420" s="40"/>
      <c r="C420" s="40" t="s">
        <v>15</v>
      </c>
      <c r="D420" s="40" t="s">
        <v>195</v>
      </c>
      <c r="E420" s="40" t="s">
        <v>282</v>
      </c>
      <c r="F420" s="40" t="s">
        <v>224</v>
      </c>
      <c r="G420" s="29"/>
      <c r="H420" s="52">
        <v>100</v>
      </c>
      <c r="I420" s="47">
        <f t="shared" si="424"/>
        <v>100</v>
      </c>
      <c r="K420" s="47">
        <f t="shared" si="424"/>
        <v>100</v>
      </c>
      <c r="M420" s="47">
        <f t="shared" si="425"/>
        <v>100</v>
      </c>
      <c r="N420" s="30">
        <v>61.7</v>
      </c>
      <c r="O420" s="47">
        <f t="shared" si="426"/>
        <v>161.69999999999999</v>
      </c>
      <c r="P420" s="30"/>
      <c r="Q420" s="47">
        <f t="shared" si="427"/>
        <v>161.69999999999999</v>
      </c>
      <c r="S420" s="47">
        <f t="shared" si="428"/>
        <v>161.69999999999999</v>
      </c>
      <c r="V420" s="47">
        <f>S420+U420</f>
        <v>161.69999999999999</v>
      </c>
      <c r="X420" s="47">
        <f t="shared" si="429"/>
        <v>161.69999999999999</v>
      </c>
      <c r="Z420" s="47">
        <f>X420+Y420-0.7</f>
        <v>161</v>
      </c>
      <c r="AA420" s="86">
        <v>160.80000000000001</v>
      </c>
      <c r="AB420" s="85">
        <f t="shared" si="406"/>
        <v>0.99875776397515537</v>
      </c>
    </row>
    <row r="421" spans="1:28" x14ac:dyDescent="0.25">
      <c r="A421" s="43" t="s">
        <v>244</v>
      </c>
      <c r="B421" s="40"/>
      <c r="C421" s="40" t="s">
        <v>15</v>
      </c>
      <c r="D421" s="40" t="s">
        <v>195</v>
      </c>
      <c r="E421" s="40" t="s">
        <v>282</v>
      </c>
      <c r="F421" s="40" t="s">
        <v>225</v>
      </c>
      <c r="G421" s="29">
        <v>1361.8</v>
      </c>
      <c r="H421" s="52">
        <f>145.8+45.7</f>
        <v>191.5</v>
      </c>
      <c r="I421" s="47">
        <f t="shared" si="424"/>
        <v>1553.3</v>
      </c>
      <c r="J421" s="28">
        <f>-13-145.78</f>
        <v>-158.78</v>
      </c>
      <c r="K421" s="47">
        <f t="shared" si="424"/>
        <v>1394.52</v>
      </c>
      <c r="L421" s="30">
        <v>32.08</v>
      </c>
      <c r="M421" s="47">
        <f t="shared" si="425"/>
        <v>1426.6</v>
      </c>
      <c r="N421" s="30">
        <v>30</v>
      </c>
      <c r="O421" s="47">
        <f t="shared" si="426"/>
        <v>1456.6</v>
      </c>
      <c r="P421" s="30"/>
      <c r="Q421" s="47">
        <f t="shared" si="427"/>
        <v>1456.6</v>
      </c>
      <c r="R421" s="30">
        <v>318.89999999999998</v>
      </c>
      <c r="S421" s="47">
        <f t="shared" si="428"/>
        <v>1775.5</v>
      </c>
      <c r="T421" s="70">
        <v>318.89999999999998</v>
      </c>
      <c r="V421" s="47">
        <f>S421+U421</f>
        <v>1775.5</v>
      </c>
      <c r="W421" s="30">
        <v>-3.5</v>
      </c>
      <c r="X421" s="47">
        <f t="shared" si="429"/>
        <v>1772</v>
      </c>
      <c r="Z421" s="47">
        <f t="shared" si="430"/>
        <v>1772</v>
      </c>
      <c r="AA421" s="86">
        <v>1770.92</v>
      </c>
      <c r="AB421" s="85">
        <f t="shared" si="406"/>
        <v>0.99939051918735899</v>
      </c>
    </row>
    <row r="422" spans="1:28" ht="62.25" customHeight="1" x14ac:dyDescent="0.25">
      <c r="A422" s="19" t="s">
        <v>260</v>
      </c>
      <c r="B422" s="40"/>
      <c r="C422" s="40" t="s">
        <v>15</v>
      </c>
      <c r="D422" s="40" t="s">
        <v>195</v>
      </c>
      <c r="E422" s="40" t="s">
        <v>282</v>
      </c>
      <c r="F422" s="40" t="s">
        <v>259</v>
      </c>
      <c r="G422" s="29"/>
      <c r="I422" s="47">
        <v>0</v>
      </c>
      <c r="J422" s="28">
        <v>145.78</v>
      </c>
      <c r="K422" s="47">
        <f t="shared" si="424"/>
        <v>145.78</v>
      </c>
      <c r="M422" s="47">
        <f t="shared" si="425"/>
        <v>145.78</v>
      </c>
      <c r="O422" s="47">
        <f t="shared" si="426"/>
        <v>145.78</v>
      </c>
      <c r="P422" s="30"/>
      <c r="Q422" s="47">
        <f t="shared" si="427"/>
        <v>145.78</v>
      </c>
      <c r="S422" s="47">
        <f t="shared" si="428"/>
        <v>145.78</v>
      </c>
      <c r="V422" s="47">
        <f>S422+U422</f>
        <v>145.78</v>
      </c>
      <c r="X422" s="47">
        <f t="shared" si="429"/>
        <v>145.78</v>
      </c>
      <c r="Z422" s="47">
        <f t="shared" si="430"/>
        <v>145.78</v>
      </c>
      <c r="AA422" s="86">
        <v>145.77000000000001</v>
      </c>
      <c r="AB422" s="85">
        <f t="shared" si="406"/>
        <v>0.999931403484703</v>
      </c>
    </row>
    <row r="423" spans="1:28" x14ac:dyDescent="0.25">
      <c r="A423" s="43" t="s">
        <v>324</v>
      </c>
      <c r="B423" s="40"/>
      <c r="C423" s="40" t="s">
        <v>15</v>
      </c>
      <c r="D423" s="40" t="s">
        <v>195</v>
      </c>
      <c r="E423" s="40" t="s">
        <v>282</v>
      </c>
      <c r="F423" s="40" t="s">
        <v>323</v>
      </c>
      <c r="G423" s="29"/>
      <c r="I423" s="47">
        <v>0</v>
      </c>
      <c r="J423" s="28">
        <v>13</v>
      </c>
      <c r="K423" s="47">
        <f t="shared" si="424"/>
        <v>13</v>
      </c>
      <c r="M423" s="47">
        <f t="shared" si="425"/>
        <v>13</v>
      </c>
      <c r="O423" s="47">
        <f t="shared" si="426"/>
        <v>13</v>
      </c>
      <c r="P423" s="30"/>
      <c r="Q423" s="47">
        <f t="shared" si="427"/>
        <v>13</v>
      </c>
      <c r="S423" s="47">
        <f t="shared" si="428"/>
        <v>13</v>
      </c>
      <c r="V423" s="47">
        <f>S423+U423</f>
        <v>13</v>
      </c>
      <c r="X423" s="47">
        <f t="shared" si="429"/>
        <v>13</v>
      </c>
      <c r="Z423" s="47">
        <f>X423+Y423+0.7</f>
        <v>13.7</v>
      </c>
      <c r="AA423" s="86">
        <v>13.7</v>
      </c>
      <c r="AB423" s="85">
        <f t="shared" si="406"/>
        <v>1</v>
      </c>
    </row>
    <row r="424" spans="1:28" x14ac:dyDescent="0.25">
      <c r="A424" s="42" t="s">
        <v>180</v>
      </c>
      <c r="B424" s="35"/>
      <c r="C424" s="35" t="s">
        <v>24</v>
      </c>
      <c r="D424" s="35" t="s">
        <v>17</v>
      </c>
      <c r="E424" s="35"/>
      <c r="F424" s="35"/>
      <c r="G424" s="36"/>
      <c r="H424" s="56"/>
      <c r="I424" s="48">
        <v>0</v>
      </c>
      <c r="J424" s="57"/>
      <c r="K424" s="48"/>
      <c r="L424" s="66"/>
      <c r="M424" s="48"/>
      <c r="N424" s="66"/>
      <c r="O424" s="48"/>
      <c r="P424" s="66"/>
      <c r="Q424" s="48"/>
      <c r="R424" s="66"/>
      <c r="S424" s="48"/>
      <c r="T424" s="83"/>
      <c r="U424" s="66"/>
      <c r="V424" s="48"/>
      <c r="W424" s="66"/>
      <c r="X424" s="48">
        <f>X425</f>
        <v>80.7</v>
      </c>
      <c r="Y424" s="66"/>
      <c r="Z424" s="48">
        <f>Z425</f>
        <v>80.7</v>
      </c>
      <c r="AA424" s="48">
        <f>AA425</f>
        <v>80.7</v>
      </c>
      <c r="AB424" s="87">
        <f t="shared" si="406"/>
        <v>1</v>
      </c>
    </row>
    <row r="425" spans="1:28" ht="47.25" x14ac:dyDescent="0.25">
      <c r="A425" s="19" t="s">
        <v>338</v>
      </c>
      <c r="B425" s="40"/>
      <c r="C425" s="40" t="s">
        <v>24</v>
      </c>
      <c r="D425" s="40" t="s">
        <v>17</v>
      </c>
      <c r="E425" s="40" t="s">
        <v>339</v>
      </c>
      <c r="F425" s="40"/>
      <c r="G425" s="29"/>
      <c r="I425" s="47">
        <v>0</v>
      </c>
      <c r="K425" s="47"/>
      <c r="M425" s="47"/>
      <c r="O425" s="47"/>
      <c r="P425" s="30"/>
      <c r="Q425" s="47"/>
      <c r="S425" s="47"/>
      <c r="V425" s="47"/>
      <c r="X425" s="47">
        <f>X426</f>
        <v>80.7</v>
      </c>
      <c r="Z425" s="47">
        <f>Z426</f>
        <v>80.7</v>
      </c>
      <c r="AA425" s="47">
        <f>AA426</f>
        <v>80.7</v>
      </c>
      <c r="AB425" s="85">
        <f t="shared" si="406"/>
        <v>1</v>
      </c>
    </row>
    <row r="426" spans="1:28" x14ac:dyDescent="0.25">
      <c r="A426" s="43" t="s">
        <v>244</v>
      </c>
      <c r="B426" s="40"/>
      <c r="C426" s="40" t="s">
        <v>24</v>
      </c>
      <c r="D426" s="40" t="s">
        <v>17</v>
      </c>
      <c r="E426" s="40" t="s">
        <v>339</v>
      </c>
      <c r="F426" s="40" t="s">
        <v>225</v>
      </c>
      <c r="G426" s="29"/>
      <c r="I426" s="47">
        <v>0</v>
      </c>
      <c r="K426" s="47"/>
      <c r="M426" s="47"/>
      <c r="O426" s="47"/>
      <c r="P426" s="30"/>
      <c r="Q426" s="47"/>
      <c r="S426" s="47"/>
      <c r="V426" s="47"/>
      <c r="W426" s="30">
        <v>80.7</v>
      </c>
      <c r="X426" s="47">
        <f>V426+W426</f>
        <v>80.7</v>
      </c>
      <c r="Z426" s="47">
        <f>X426+Y426</f>
        <v>80.7</v>
      </c>
      <c r="AA426" s="86">
        <v>80.7</v>
      </c>
      <c r="AB426" s="85">
        <f t="shared" si="406"/>
        <v>1</v>
      </c>
    </row>
    <row r="427" spans="1:28" x14ac:dyDescent="0.25">
      <c r="A427" s="34" t="s">
        <v>67</v>
      </c>
      <c r="B427" s="35"/>
      <c r="C427" s="35" t="s">
        <v>68</v>
      </c>
      <c r="D427" s="35"/>
      <c r="E427" s="35"/>
      <c r="F427" s="35"/>
      <c r="G427" s="36">
        <f>G428</f>
        <v>1675.1</v>
      </c>
      <c r="I427" s="48">
        <f>I428</f>
        <v>1675.1</v>
      </c>
      <c r="K427" s="48">
        <f>K428</f>
        <v>1675.1</v>
      </c>
      <c r="M427" s="48">
        <f>M428</f>
        <v>1675.1</v>
      </c>
      <c r="O427" s="48">
        <f>O428</f>
        <v>1675.1</v>
      </c>
      <c r="P427" s="30"/>
      <c r="Q427" s="48">
        <f>Q428</f>
        <v>1675.1</v>
      </c>
      <c r="S427" s="48">
        <f>S428</f>
        <v>1675.1</v>
      </c>
      <c r="V427" s="48">
        <f>V428</f>
        <v>1675.1</v>
      </c>
      <c r="X427" s="48">
        <f>X428</f>
        <v>2135.7599999999998</v>
      </c>
      <c r="Z427" s="48">
        <f t="shared" ref="Z427:AA429" si="431">Z428</f>
        <v>2135.7599999999998</v>
      </c>
      <c r="AA427" s="48">
        <f t="shared" si="431"/>
        <v>2135.7600000000002</v>
      </c>
      <c r="AB427" s="87">
        <f t="shared" si="406"/>
        <v>1.0000000000000002</v>
      </c>
    </row>
    <row r="428" spans="1:28" x14ac:dyDescent="0.25">
      <c r="A428" s="34" t="s">
        <v>74</v>
      </c>
      <c r="B428" s="35"/>
      <c r="C428" s="35" t="s">
        <v>68</v>
      </c>
      <c r="D428" s="35" t="s">
        <v>24</v>
      </c>
      <c r="E428" s="35"/>
      <c r="F428" s="35"/>
      <c r="G428" s="36">
        <f>G429</f>
        <v>1675.1</v>
      </c>
      <c r="I428" s="48">
        <f>I429</f>
        <v>1675.1</v>
      </c>
      <c r="K428" s="48">
        <f>K429</f>
        <v>1675.1</v>
      </c>
      <c r="M428" s="48">
        <f>M429</f>
        <v>1675.1</v>
      </c>
      <c r="O428" s="48">
        <f>O429</f>
        <v>1675.1</v>
      </c>
      <c r="P428" s="30"/>
      <c r="Q428" s="48">
        <f>Q429</f>
        <v>1675.1</v>
      </c>
      <c r="S428" s="48">
        <f>S429</f>
        <v>1675.1</v>
      </c>
      <c r="V428" s="48">
        <f>V429</f>
        <v>1675.1</v>
      </c>
      <c r="X428" s="48">
        <f>X429</f>
        <v>2135.7599999999998</v>
      </c>
      <c r="Z428" s="48">
        <f t="shared" si="431"/>
        <v>2135.7599999999998</v>
      </c>
      <c r="AA428" s="48">
        <f t="shared" si="431"/>
        <v>2135.7600000000002</v>
      </c>
      <c r="AB428" s="87">
        <f t="shared" si="406"/>
        <v>1.0000000000000002</v>
      </c>
    </row>
    <row r="429" spans="1:28" ht="44.25" customHeight="1" x14ac:dyDescent="0.25">
      <c r="A429" s="19" t="s">
        <v>314</v>
      </c>
      <c r="B429" s="40"/>
      <c r="C429" s="40" t="s">
        <v>68</v>
      </c>
      <c r="D429" s="40" t="s">
        <v>24</v>
      </c>
      <c r="E429" s="40" t="s">
        <v>315</v>
      </c>
      <c r="F429" s="40"/>
      <c r="G429" s="29">
        <f>G430</f>
        <v>1675.1</v>
      </c>
      <c r="I429" s="47">
        <f>I430</f>
        <v>1675.1</v>
      </c>
      <c r="K429" s="47">
        <f>K430</f>
        <v>1675.1</v>
      </c>
      <c r="M429" s="47">
        <f>M430</f>
        <v>1675.1</v>
      </c>
      <c r="O429" s="47">
        <f>O430</f>
        <v>1675.1</v>
      </c>
      <c r="P429" s="30"/>
      <c r="Q429" s="47">
        <f>Q430</f>
        <v>1675.1</v>
      </c>
      <c r="S429" s="47">
        <f>S430</f>
        <v>1675.1</v>
      </c>
      <c r="V429" s="47">
        <f>V430</f>
        <v>1675.1</v>
      </c>
      <c r="X429" s="47">
        <f>X430</f>
        <v>2135.7599999999998</v>
      </c>
      <c r="Z429" s="47">
        <f t="shared" si="431"/>
        <v>2135.7599999999998</v>
      </c>
      <c r="AA429" s="47">
        <f t="shared" si="431"/>
        <v>2135.7600000000002</v>
      </c>
      <c r="AB429" s="85">
        <f t="shared" si="406"/>
        <v>1.0000000000000002</v>
      </c>
    </row>
    <row r="430" spans="1:28" ht="31.5" x14ac:dyDescent="0.25">
      <c r="A430" s="19" t="s">
        <v>311</v>
      </c>
      <c r="B430" s="40"/>
      <c r="C430" s="40" t="s">
        <v>68</v>
      </c>
      <c r="D430" s="40" t="s">
        <v>24</v>
      </c>
      <c r="E430" s="40" t="s">
        <v>315</v>
      </c>
      <c r="F430" s="40" t="s">
        <v>310</v>
      </c>
      <c r="G430" s="29">
        <v>1675.1</v>
      </c>
      <c r="I430" s="47">
        <f t="shared" ref="I430:K430" si="432">G430+H430</f>
        <v>1675.1</v>
      </c>
      <c r="K430" s="47">
        <f t="shared" si="432"/>
        <v>1675.1</v>
      </c>
      <c r="M430" s="47">
        <f t="shared" ref="M430" si="433">K430+L430</f>
        <v>1675.1</v>
      </c>
      <c r="O430" s="47">
        <f t="shared" ref="O430" si="434">M430+N430</f>
        <v>1675.1</v>
      </c>
      <c r="P430" s="30"/>
      <c r="Q430" s="47">
        <f t="shared" ref="Q430" si="435">O430+P430</f>
        <v>1675.1</v>
      </c>
      <c r="S430" s="47">
        <f t="shared" ref="S430" si="436">Q430+R430</f>
        <v>1675.1</v>
      </c>
      <c r="V430" s="47">
        <f>S430+U430</f>
        <v>1675.1</v>
      </c>
      <c r="W430" s="30">
        <v>460.66</v>
      </c>
      <c r="X430" s="47">
        <f>V430+W430</f>
        <v>2135.7599999999998</v>
      </c>
      <c r="Z430" s="47">
        <f>X430+Y430</f>
        <v>2135.7599999999998</v>
      </c>
      <c r="AA430" s="86">
        <v>2135.7600000000002</v>
      </c>
      <c r="AB430" s="85">
        <f t="shared" si="406"/>
        <v>1.0000000000000002</v>
      </c>
    </row>
    <row r="431" spans="1:28" ht="31.5" x14ac:dyDescent="0.25">
      <c r="A431" s="44" t="s">
        <v>426</v>
      </c>
      <c r="B431" s="35" t="s">
        <v>118</v>
      </c>
      <c r="C431" s="35"/>
      <c r="D431" s="35"/>
      <c r="E431" s="35"/>
      <c r="F431" s="35"/>
      <c r="G431" s="36">
        <f>G435</f>
        <v>3575.1000000000004</v>
      </c>
      <c r="I431" s="48">
        <f>I435</f>
        <v>3611.3</v>
      </c>
      <c r="K431" s="48">
        <f>K435</f>
        <v>3611.3</v>
      </c>
      <c r="M431" s="48">
        <f>M435</f>
        <v>3775.76</v>
      </c>
      <c r="O431" s="48">
        <f>O435</f>
        <v>3775.76</v>
      </c>
      <c r="P431" s="30"/>
      <c r="Q431" s="48">
        <f>Q435</f>
        <v>3775.76</v>
      </c>
      <c r="S431" s="48">
        <f>S435</f>
        <v>3835.36</v>
      </c>
      <c r="V431" s="48">
        <f>V435</f>
        <v>3835.36</v>
      </c>
      <c r="X431" s="48">
        <f>X435+X432</f>
        <v>4133.46</v>
      </c>
      <c r="Z431" s="48">
        <f>Z435+Z432</f>
        <v>4133.46</v>
      </c>
      <c r="AA431" s="48">
        <f>AA435+AA432</f>
        <v>3758.2399999999993</v>
      </c>
      <c r="AB431" s="87">
        <f t="shared" si="406"/>
        <v>0.90922374959477026</v>
      </c>
    </row>
    <row r="432" spans="1:28" x14ac:dyDescent="0.25">
      <c r="A432" s="42" t="s">
        <v>180</v>
      </c>
      <c r="B432" s="35"/>
      <c r="C432" s="35" t="s">
        <v>24</v>
      </c>
      <c r="D432" s="35" t="s">
        <v>17</v>
      </c>
      <c r="E432" s="35"/>
      <c r="F432" s="35"/>
      <c r="G432" s="36"/>
      <c r="I432" s="48">
        <v>0</v>
      </c>
      <c r="K432" s="48"/>
      <c r="M432" s="48"/>
      <c r="O432" s="48"/>
      <c r="P432" s="30"/>
      <c r="Q432" s="48"/>
      <c r="S432" s="48"/>
      <c r="V432" s="48"/>
      <c r="X432" s="48">
        <f>X433</f>
        <v>16.600000000000001</v>
      </c>
      <c r="Z432" s="48">
        <f>Z433</f>
        <v>16.600000000000001</v>
      </c>
      <c r="AA432" s="48">
        <f>AA433</f>
        <v>16.600000000000001</v>
      </c>
      <c r="AB432" s="87">
        <f t="shared" si="406"/>
        <v>1</v>
      </c>
    </row>
    <row r="433" spans="1:28" ht="47.25" x14ac:dyDescent="0.25">
      <c r="A433" s="19" t="s">
        <v>338</v>
      </c>
      <c r="B433" s="40"/>
      <c r="C433" s="40" t="s">
        <v>24</v>
      </c>
      <c r="D433" s="40" t="s">
        <v>17</v>
      </c>
      <c r="E433" s="40" t="s">
        <v>339</v>
      </c>
      <c r="F433" s="40"/>
      <c r="G433" s="36"/>
      <c r="I433" s="48">
        <v>0</v>
      </c>
      <c r="K433" s="48"/>
      <c r="M433" s="48"/>
      <c r="O433" s="48"/>
      <c r="P433" s="30"/>
      <c r="Q433" s="48"/>
      <c r="S433" s="48"/>
      <c r="V433" s="48"/>
      <c r="X433" s="47">
        <f>X434</f>
        <v>16.600000000000001</v>
      </c>
      <c r="Z433" s="47">
        <f>Z434</f>
        <v>16.600000000000001</v>
      </c>
      <c r="AA433" s="47">
        <f>AA434</f>
        <v>16.600000000000001</v>
      </c>
      <c r="AB433" s="85">
        <f t="shared" si="406"/>
        <v>1</v>
      </c>
    </row>
    <row r="434" spans="1:28" x14ac:dyDescent="0.25">
      <c r="A434" s="43" t="s">
        <v>244</v>
      </c>
      <c r="B434" s="40"/>
      <c r="C434" s="40" t="s">
        <v>24</v>
      </c>
      <c r="D434" s="40" t="s">
        <v>17</v>
      </c>
      <c r="E434" s="40" t="s">
        <v>339</v>
      </c>
      <c r="F434" s="40" t="s">
        <v>225</v>
      </c>
      <c r="G434" s="36"/>
      <c r="I434" s="48">
        <v>0</v>
      </c>
      <c r="K434" s="48"/>
      <c r="M434" s="48"/>
      <c r="O434" s="48"/>
      <c r="P434" s="30"/>
      <c r="Q434" s="48"/>
      <c r="S434" s="48"/>
      <c r="V434" s="48"/>
      <c r="W434" s="30">
        <v>16</v>
      </c>
      <c r="X434" s="47">
        <v>16.600000000000001</v>
      </c>
      <c r="Z434" s="47">
        <v>16.600000000000001</v>
      </c>
      <c r="AA434" s="86">
        <v>16.600000000000001</v>
      </c>
      <c r="AB434" s="85">
        <f t="shared" si="406"/>
        <v>1</v>
      </c>
    </row>
    <row r="435" spans="1:28" x14ac:dyDescent="0.25">
      <c r="A435" s="34" t="s">
        <v>247</v>
      </c>
      <c r="B435" s="35"/>
      <c r="C435" s="35" t="s">
        <v>43</v>
      </c>
      <c r="D435" s="35"/>
      <c r="E435" s="35"/>
      <c r="F435" s="35"/>
      <c r="G435" s="36">
        <f>G436</f>
        <v>3575.1000000000004</v>
      </c>
      <c r="I435" s="48">
        <f>I436</f>
        <v>3611.3</v>
      </c>
      <c r="K435" s="48">
        <f>K436</f>
        <v>3611.3</v>
      </c>
      <c r="M435" s="48">
        <f>M436</f>
        <v>3775.76</v>
      </c>
      <c r="O435" s="48">
        <f>O436</f>
        <v>3775.76</v>
      </c>
      <c r="P435" s="30"/>
      <c r="Q435" s="48">
        <f>Q436</f>
        <v>3775.76</v>
      </c>
      <c r="S435" s="48">
        <f>S436</f>
        <v>3835.36</v>
      </c>
      <c r="V435" s="48">
        <f>V436</f>
        <v>3835.36</v>
      </c>
      <c r="X435" s="48">
        <f>X436</f>
        <v>4116.8599999999997</v>
      </c>
      <c r="Z435" s="48">
        <f>Z436</f>
        <v>4116.8599999999997</v>
      </c>
      <c r="AA435" s="48">
        <f>AA436</f>
        <v>3741.6399999999994</v>
      </c>
      <c r="AB435" s="87">
        <f t="shared" si="406"/>
        <v>0.90885772166165468</v>
      </c>
    </row>
    <row r="436" spans="1:28" x14ac:dyDescent="0.25">
      <c r="A436" s="34" t="s">
        <v>154</v>
      </c>
      <c r="B436" s="35"/>
      <c r="C436" s="35" t="s">
        <v>43</v>
      </c>
      <c r="D436" s="35" t="s">
        <v>15</v>
      </c>
      <c r="E436" s="35"/>
      <c r="F436" s="35"/>
      <c r="G436" s="36">
        <f>G445</f>
        <v>3575.1000000000004</v>
      </c>
      <c r="I436" s="48">
        <f>I445</f>
        <v>3611.3</v>
      </c>
      <c r="K436" s="48">
        <f>K445</f>
        <v>3611.3</v>
      </c>
      <c r="M436" s="48">
        <f>M445+M443</f>
        <v>3775.76</v>
      </c>
      <c r="O436" s="48">
        <f>O445+O443</f>
        <v>3775.76</v>
      </c>
      <c r="P436" s="30"/>
      <c r="Q436" s="48">
        <f>Q445+Q443</f>
        <v>3775.76</v>
      </c>
      <c r="S436" s="48">
        <f>S445+S443+S437+S439</f>
        <v>3835.36</v>
      </c>
      <c r="V436" s="48">
        <f>V445+V443+V437+V439</f>
        <v>3835.36</v>
      </c>
      <c r="X436" s="48">
        <f>X445+X443+X437+X439+X441+X452</f>
        <v>4116.8599999999997</v>
      </c>
      <c r="Z436" s="48">
        <f>Z445+Z443+Z437+Z439+Z441+Z452</f>
        <v>4116.8599999999997</v>
      </c>
      <c r="AA436" s="48">
        <f>AA445+AA443+AA437+AA439+AA441+AA452</f>
        <v>3741.6399999999994</v>
      </c>
      <c r="AB436" s="87">
        <f t="shared" si="406"/>
        <v>0.90885772166165468</v>
      </c>
    </row>
    <row r="437" spans="1:28" ht="31.5" x14ac:dyDescent="0.25">
      <c r="A437" s="45" t="s">
        <v>594</v>
      </c>
      <c r="B437" s="35"/>
      <c r="C437" s="40" t="s">
        <v>43</v>
      </c>
      <c r="D437" s="40" t="s">
        <v>15</v>
      </c>
      <c r="E437" s="40" t="s">
        <v>428</v>
      </c>
      <c r="F437" s="40"/>
      <c r="G437" s="29"/>
      <c r="I437" s="47">
        <v>0</v>
      </c>
      <c r="K437" s="47"/>
      <c r="M437" s="47"/>
      <c r="O437" s="47"/>
      <c r="P437" s="30"/>
      <c r="Q437" s="47"/>
      <c r="S437" s="47">
        <f>S438</f>
        <v>25</v>
      </c>
      <c r="V437" s="47">
        <f>V438</f>
        <v>25</v>
      </c>
      <c r="X437" s="47">
        <f>X438</f>
        <v>25</v>
      </c>
      <c r="Z437" s="47">
        <f>Z438</f>
        <v>25</v>
      </c>
      <c r="AA437" s="47">
        <f>AA438</f>
        <v>25</v>
      </c>
      <c r="AB437" s="85">
        <f t="shared" si="406"/>
        <v>1</v>
      </c>
    </row>
    <row r="438" spans="1:28" ht="31.5" x14ac:dyDescent="0.25">
      <c r="A438" s="19" t="s">
        <v>223</v>
      </c>
      <c r="B438" s="35"/>
      <c r="C438" s="40" t="s">
        <v>43</v>
      </c>
      <c r="D438" s="40" t="s">
        <v>15</v>
      </c>
      <c r="E438" s="40" t="s">
        <v>428</v>
      </c>
      <c r="F438" s="40" t="s">
        <v>224</v>
      </c>
      <c r="G438" s="29"/>
      <c r="I438" s="47">
        <v>0</v>
      </c>
      <c r="K438" s="47"/>
      <c r="M438" s="47"/>
      <c r="O438" s="47"/>
      <c r="P438" s="30"/>
      <c r="Q438" s="47"/>
      <c r="R438" s="30">
        <v>25</v>
      </c>
      <c r="S438" s="47">
        <f t="shared" ref="S438:S444" si="437">Q438+R438</f>
        <v>25</v>
      </c>
      <c r="V438" s="47">
        <f>S438+U438</f>
        <v>25</v>
      </c>
      <c r="X438" s="47">
        <f>V438+W438</f>
        <v>25</v>
      </c>
      <c r="Z438" s="47">
        <f>X438+Y438</f>
        <v>25</v>
      </c>
      <c r="AA438" s="86">
        <v>25</v>
      </c>
      <c r="AB438" s="85">
        <f t="shared" si="406"/>
        <v>1</v>
      </c>
    </row>
    <row r="439" spans="1:28" x14ac:dyDescent="0.25">
      <c r="A439" s="19" t="s">
        <v>595</v>
      </c>
      <c r="B439" s="35"/>
      <c r="C439" s="40" t="s">
        <v>43</v>
      </c>
      <c r="D439" s="40" t="s">
        <v>15</v>
      </c>
      <c r="E439" s="40" t="s">
        <v>596</v>
      </c>
      <c r="F439" s="40"/>
      <c r="G439" s="29"/>
      <c r="I439" s="47">
        <v>0</v>
      </c>
      <c r="K439" s="47"/>
      <c r="M439" s="47"/>
      <c r="O439" s="47"/>
      <c r="P439" s="30"/>
      <c r="Q439" s="47"/>
      <c r="S439" s="47">
        <f>S440</f>
        <v>34.6</v>
      </c>
      <c r="V439" s="47">
        <f>V440</f>
        <v>34.6</v>
      </c>
      <c r="X439" s="47">
        <f>X440</f>
        <v>34.6</v>
      </c>
      <c r="Z439" s="47">
        <f>Z440</f>
        <v>34.6</v>
      </c>
      <c r="AA439" s="47">
        <f>AA440</f>
        <v>34.6</v>
      </c>
      <c r="AB439" s="85">
        <f t="shared" si="406"/>
        <v>1</v>
      </c>
    </row>
    <row r="440" spans="1:28" x14ac:dyDescent="0.25">
      <c r="A440" s="43" t="s">
        <v>244</v>
      </c>
      <c r="B440" s="35"/>
      <c r="C440" s="40" t="s">
        <v>43</v>
      </c>
      <c r="D440" s="40" t="s">
        <v>15</v>
      </c>
      <c r="E440" s="40" t="s">
        <v>596</v>
      </c>
      <c r="F440" s="40" t="s">
        <v>225</v>
      </c>
      <c r="G440" s="29"/>
      <c r="I440" s="47">
        <v>0</v>
      </c>
      <c r="K440" s="47"/>
      <c r="M440" s="47"/>
      <c r="O440" s="47"/>
      <c r="P440" s="30"/>
      <c r="Q440" s="47"/>
      <c r="R440" s="30">
        <v>34.6</v>
      </c>
      <c r="S440" s="47">
        <f t="shared" si="437"/>
        <v>34.6</v>
      </c>
      <c r="V440" s="47">
        <f>S440+U440</f>
        <v>34.6</v>
      </c>
      <c r="X440" s="47">
        <f>V440+W440</f>
        <v>34.6</v>
      </c>
      <c r="Z440" s="47">
        <f>X440+Y440</f>
        <v>34.6</v>
      </c>
      <c r="AA440" s="86">
        <v>34.6</v>
      </c>
      <c r="AB440" s="85">
        <f t="shared" si="406"/>
        <v>1</v>
      </c>
    </row>
    <row r="441" spans="1:28" ht="45" x14ac:dyDescent="0.25">
      <c r="A441" s="43" t="s">
        <v>647</v>
      </c>
      <c r="B441" s="35"/>
      <c r="C441" s="40" t="s">
        <v>43</v>
      </c>
      <c r="D441" s="40" t="s">
        <v>15</v>
      </c>
      <c r="E441" s="40" t="s">
        <v>648</v>
      </c>
      <c r="F441" s="40"/>
      <c r="G441" s="29"/>
      <c r="I441" s="47">
        <v>0</v>
      </c>
      <c r="K441" s="47"/>
      <c r="M441" s="47"/>
      <c r="O441" s="47"/>
      <c r="P441" s="30"/>
      <c r="Q441" s="47"/>
      <c r="S441" s="47"/>
      <c r="V441" s="47"/>
      <c r="X441" s="47">
        <f>X442</f>
        <v>1.5</v>
      </c>
      <c r="Z441" s="47">
        <f>Z442</f>
        <v>1.5</v>
      </c>
      <c r="AA441" s="47">
        <f>AA442</f>
        <v>1.5</v>
      </c>
      <c r="AB441" s="85">
        <f t="shared" si="406"/>
        <v>1</v>
      </c>
    </row>
    <row r="442" spans="1:28" ht="18.75" customHeight="1" x14ac:dyDescent="0.25">
      <c r="A442" s="19" t="s">
        <v>223</v>
      </c>
      <c r="B442" s="35"/>
      <c r="C442" s="40" t="s">
        <v>43</v>
      </c>
      <c r="D442" s="40" t="s">
        <v>15</v>
      </c>
      <c r="E442" s="40" t="s">
        <v>648</v>
      </c>
      <c r="F442" s="40" t="s">
        <v>224</v>
      </c>
      <c r="G442" s="29"/>
      <c r="I442" s="47">
        <v>0</v>
      </c>
      <c r="K442" s="47"/>
      <c r="M442" s="47"/>
      <c r="O442" s="47"/>
      <c r="P442" s="30"/>
      <c r="Q442" s="47"/>
      <c r="S442" s="47"/>
      <c r="V442" s="47"/>
      <c r="W442" s="30">
        <v>1.5</v>
      </c>
      <c r="X442" s="47">
        <f>V442+W442</f>
        <v>1.5</v>
      </c>
      <c r="Z442" s="47">
        <f>X442+Y442</f>
        <v>1.5</v>
      </c>
      <c r="AA442" s="86">
        <v>1.5</v>
      </c>
      <c r="AB442" s="85">
        <f t="shared" si="406"/>
        <v>1</v>
      </c>
    </row>
    <row r="443" spans="1:28" ht="31.5" x14ac:dyDescent="0.25">
      <c r="A443" s="19" t="s">
        <v>462</v>
      </c>
      <c r="B443" s="40"/>
      <c r="C443" s="40" t="s">
        <v>43</v>
      </c>
      <c r="D443" s="40" t="s">
        <v>15</v>
      </c>
      <c r="E443" s="40" t="s">
        <v>461</v>
      </c>
      <c r="F443" s="40"/>
      <c r="G443" s="29"/>
      <c r="I443" s="47">
        <v>0</v>
      </c>
      <c r="K443" s="47"/>
      <c r="M443" s="47">
        <f>M444</f>
        <v>71.2</v>
      </c>
      <c r="O443" s="47">
        <f>O444</f>
        <v>71.2</v>
      </c>
      <c r="P443" s="30"/>
      <c r="Q443" s="47">
        <f>Q444</f>
        <v>71.2</v>
      </c>
      <c r="S443" s="47">
        <f>S444</f>
        <v>71.2</v>
      </c>
      <c r="V443" s="47">
        <f>V444</f>
        <v>71.2</v>
      </c>
      <c r="X443" s="47">
        <f>X444</f>
        <v>71.2</v>
      </c>
      <c r="Z443" s="47">
        <f>Z444</f>
        <v>71.2</v>
      </c>
      <c r="AA443" s="47">
        <f>AA444</f>
        <v>36</v>
      </c>
      <c r="AB443" s="85">
        <f t="shared" si="406"/>
        <v>0.5056179775280899</v>
      </c>
    </row>
    <row r="444" spans="1:28" x14ac:dyDescent="0.25">
      <c r="A444" s="19" t="s">
        <v>217</v>
      </c>
      <c r="B444" s="40"/>
      <c r="C444" s="40" t="s">
        <v>43</v>
      </c>
      <c r="D444" s="40" t="s">
        <v>15</v>
      </c>
      <c r="E444" s="40" t="s">
        <v>461</v>
      </c>
      <c r="F444" s="40" t="s">
        <v>218</v>
      </c>
      <c r="G444" s="29"/>
      <c r="I444" s="47">
        <v>0</v>
      </c>
      <c r="K444" s="47"/>
      <c r="L444" s="30">
        <v>71.2</v>
      </c>
      <c r="M444" s="47">
        <f t="shared" ref="M444" si="438">K444+L444</f>
        <v>71.2</v>
      </c>
      <c r="O444" s="47">
        <f t="shared" ref="O444" si="439">M444+N444</f>
        <v>71.2</v>
      </c>
      <c r="P444" s="30"/>
      <c r="Q444" s="47">
        <f t="shared" ref="Q444" si="440">O444+P444</f>
        <v>71.2</v>
      </c>
      <c r="S444" s="47">
        <f t="shared" si="437"/>
        <v>71.2</v>
      </c>
      <c r="V444" s="47">
        <f>S444+U444</f>
        <v>71.2</v>
      </c>
      <c r="X444" s="47">
        <f>V444+W444</f>
        <v>71.2</v>
      </c>
      <c r="Z444" s="47">
        <f>X444+Y444</f>
        <v>71.2</v>
      </c>
      <c r="AA444" s="86">
        <v>36</v>
      </c>
      <c r="AB444" s="85">
        <f t="shared" si="406"/>
        <v>0.5056179775280899</v>
      </c>
    </row>
    <row r="445" spans="1:28" x14ac:dyDescent="0.25">
      <c r="A445" s="41" t="s">
        <v>119</v>
      </c>
      <c r="B445" s="40"/>
      <c r="C445" s="40" t="s">
        <v>43</v>
      </c>
      <c r="D445" s="40" t="s">
        <v>15</v>
      </c>
      <c r="E445" s="40" t="s">
        <v>320</v>
      </c>
      <c r="F445" s="40"/>
      <c r="G445" s="29">
        <f>G446</f>
        <v>3575.1000000000004</v>
      </c>
      <c r="I445" s="47">
        <f>I446</f>
        <v>3611.3</v>
      </c>
      <c r="K445" s="47">
        <f>K446</f>
        <v>3611.3</v>
      </c>
      <c r="M445" s="47">
        <f>M446</f>
        <v>3704.5600000000004</v>
      </c>
      <c r="O445" s="47">
        <f>O446</f>
        <v>3704.5600000000004</v>
      </c>
      <c r="P445" s="30"/>
      <c r="Q445" s="47">
        <f>Q446</f>
        <v>3704.5600000000004</v>
      </c>
      <c r="S445" s="47">
        <f>S446</f>
        <v>3704.5600000000004</v>
      </c>
      <c r="V445" s="47">
        <f>V446</f>
        <v>3704.5600000000004</v>
      </c>
      <c r="X445" s="47">
        <f>X446</f>
        <v>3954.56</v>
      </c>
      <c r="Z445" s="47">
        <f>Z446</f>
        <v>3954.56</v>
      </c>
      <c r="AA445" s="47">
        <f>AA446</f>
        <v>3614.5399999999995</v>
      </c>
      <c r="AB445" s="85">
        <f t="shared" si="406"/>
        <v>0.91401824728920522</v>
      </c>
    </row>
    <row r="446" spans="1:28" x14ac:dyDescent="0.25">
      <c r="A446" s="41" t="s">
        <v>52</v>
      </c>
      <c r="B446" s="40"/>
      <c r="C446" s="40" t="s">
        <v>43</v>
      </c>
      <c r="D446" s="40" t="s">
        <v>15</v>
      </c>
      <c r="E446" s="40" t="s">
        <v>316</v>
      </c>
      <c r="F446" s="40"/>
      <c r="G446" s="29">
        <f>G447+G448+G449</f>
        <v>3575.1000000000004</v>
      </c>
      <c r="I446" s="47">
        <f>I447+I448+I449</f>
        <v>3611.3</v>
      </c>
      <c r="K446" s="47">
        <f>K447+K448+K449</f>
        <v>3611.3</v>
      </c>
      <c r="M446" s="47">
        <f>M447+M448+M449</f>
        <v>3704.5600000000004</v>
      </c>
      <c r="O446" s="47">
        <f>O447+O448+O449</f>
        <v>3704.5600000000004</v>
      </c>
      <c r="P446" s="30"/>
      <c r="Q446" s="47">
        <f>Q447+Q448+Q449</f>
        <v>3704.5600000000004</v>
      </c>
      <c r="S446" s="47">
        <f>S447+S448+S449</f>
        <v>3704.5600000000004</v>
      </c>
      <c r="V446" s="47">
        <f>V447+V448+V449</f>
        <v>3704.5600000000004</v>
      </c>
      <c r="X446" s="47">
        <f>X447+X448+X449+X450+X451</f>
        <v>3954.56</v>
      </c>
      <c r="Z446" s="47">
        <f>Z447+Z448+Z449+Z450+Z451</f>
        <v>3954.56</v>
      </c>
      <c r="AA446" s="47">
        <f>AA447+AA448+AA449+AA450+AA451</f>
        <v>3614.5399999999995</v>
      </c>
      <c r="AB446" s="85">
        <f t="shared" si="406"/>
        <v>0.91401824728920522</v>
      </c>
    </row>
    <row r="447" spans="1:28" x14ac:dyDescent="0.25">
      <c r="A447" s="19" t="s">
        <v>217</v>
      </c>
      <c r="B447" s="40"/>
      <c r="C447" s="40" t="s">
        <v>43</v>
      </c>
      <c r="D447" s="40" t="s">
        <v>15</v>
      </c>
      <c r="E447" s="40" t="s">
        <v>316</v>
      </c>
      <c r="F447" s="40" t="s">
        <v>218</v>
      </c>
      <c r="G447" s="29">
        <f>1713+586+111.3+117+38+40</f>
        <v>2605.3000000000002</v>
      </c>
      <c r="H447" s="52">
        <v>31.7</v>
      </c>
      <c r="I447" s="47">
        <f t="shared" ref="I447:K449" si="441">G447+H447</f>
        <v>2637</v>
      </c>
      <c r="K447" s="47">
        <f t="shared" si="441"/>
        <v>2637</v>
      </c>
      <c r="L447" s="30">
        <v>93.26</v>
      </c>
      <c r="M447" s="47">
        <f t="shared" ref="M447:M449" si="442">K447+L447</f>
        <v>2730.26</v>
      </c>
      <c r="O447" s="47">
        <f t="shared" ref="O447:O449" si="443">M447+N447</f>
        <v>2730.26</v>
      </c>
      <c r="P447" s="30"/>
      <c r="Q447" s="47">
        <f t="shared" ref="Q447:Q449" si="444">O447+P447</f>
        <v>2730.26</v>
      </c>
      <c r="S447" s="47">
        <f t="shared" ref="S447:S449" si="445">Q447+R447</f>
        <v>2730.26</v>
      </c>
      <c r="V447" s="47">
        <f>S447+U447</f>
        <v>2730.26</v>
      </c>
      <c r="W447" s="30">
        <v>25</v>
      </c>
      <c r="X447" s="47">
        <f>V447+W447</f>
        <v>2755.26</v>
      </c>
      <c r="Z447" s="47">
        <f>X447+Y447</f>
        <v>2755.26</v>
      </c>
      <c r="AA447" s="86">
        <v>2519.6799999999998</v>
      </c>
      <c r="AB447" s="85">
        <f t="shared" si="406"/>
        <v>0.91449808729484683</v>
      </c>
    </row>
    <row r="448" spans="1:28" ht="13.5" customHeight="1" x14ac:dyDescent="0.25">
      <c r="A448" s="19" t="s">
        <v>223</v>
      </c>
      <c r="B448" s="40"/>
      <c r="C448" s="40" t="s">
        <v>43</v>
      </c>
      <c r="D448" s="40" t="s">
        <v>15</v>
      </c>
      <c r="E448" s="40" t="s">
        <v>316</v>
      </c>
      <c r="F448" s="40" t="s">
        <v>224</v>
      </c>
      <c r="G448" s="29">
        <v>291</v>
      </c>
      <c r="I448" s="47">
        <f t="shared" si="441"/>
        <v>291</v>
      </c>
      <c r="K448" s="47">
        <f t="shared" si="441"/>
        <v>291</v>
      </c>
      <c r="M448" s="47">
        <f t="shared" si="442"/>
        <v>291</v>
      </c>
      <c r="O448" s="47">
        <f t="shared" si="443"/>
        <v>291</v>
      </c>
      <c r="P448" s="30"/>
      <c r="Q448" s="47">
        <f t="shared" si="444"/>
        <v>291</v>
      </c>
      <c r="S448" s="47">
        <f t="shared" si="445"/>
        <v>291</v>
      </c>
      <c r="V448" s="47">
        <f>S448+U448</f>
        <v>291</v>
      </c>
      <c r="W448" s="30">
        <v>128.6</v>
      </c>
      <c r="X448" s="47">
        <f>V448+W448</f>
        <v>419.6</v>
      </c>
      <c r="Z448" s="47">
        <f>X448+Y448</f>
        <v>419.6</v>
      </c>
      <c r="AA448" s="86">
        <v>318.92</v>
      </c>
      <c r="AB448" s="85">
        <f t="shared" si="406"/>
        <v>0.76005719733079125</v>
      </c>
    </row>
    <row r="449" spans="1:28" x14ac:dyDescent="0.25">
      <c r="A449" s="43" t="s">
        <v>244</v>
      </c>
      <c r="B449" s="40"/>
      <c r="C449" s="40" t="s">
        <v>43</v>
      </c>
      <c r="D449" s="40" t="s">
        <v>15</v>
      </c>
      <c r="E449" s="40" t="s">
        <v>316</v>
      </c>
      <c r="F449" s="40" t="s">
        <v>225</v>
      </c>
      <c r="G449" s="29">
        <v>678.8</v>
      </c>
      <c r="H449" s="52">
        <v>4.5</v>
      </c>
      <c r="I449" s="47">
        <f t="shared" si="441"/>
        <v>683.3</v>
      </c>
      <c r="K449" s="47">
        <f t="shared" si="441"/>
        <v>683.3</v>
      </c>
      <c r="M449" s="47">
        <f t="shared" si="442"/>
        <v>683.3</v>
      </c>
      <c r="O449" s="47">
        <f t="shared" si="443"/>
        <v>683.3</v>
      </c>
      <c r="P449" s="30"/>
      <c r="Q449" s="47">
        <f t="shared" si="444"/>
        <v>683.3</v>
      </c>
      <c r="S449" s="47">
        <f t="shared" si="445"/>
        <v>683.3</v>
      </c>
      <c r="V449" s="47">
        <f>S449+U449</f>
        <v>683.3</v>
      </c>
      <c r="W449" s="30">
        <v>80</v>
      </c>
      <c r="X449" s="47">
        <f>V449+W449</f>
        <v>763.3</v>
      </c>
      <c r="Z449" s="47">
        <f>X449+Y449</f>
        <v>763.3</v>
      </c>
      <c r="AA449" s="86">
        <v>759.55</v>
      </c>
      <c r="AB449" s="85">
        <f t="shared" si="406"/>
        <v>0.99508712170837155</v>
      </c>
    </row>
    <row r="450" spans="1:28" x14ac:dyDescent="0.25">
      <c r="A450" s="43" t="s">
        <v>347</v>
      </c>
      <c r="B450" s="40"/>
      <c r="C450" s="40" t="s">
        <v>43</v>
      </c>
      <c r="D450" s="40" t="s">
        <v>15</v>
      </c>
      <c r="E450" s="40" t="s">
        <v>316</v>
      </c>
      <c r="F450" s="40" t="s">
        <v>346</v>
      </c>
      <c r="G450" s="29"/>
      <c r="I450" s="47">
        <v>0</v>
      </c>
      <c r="K450" s="47"/>
      <c r="M450" s="47"/>
      <c r="O450" s="47"/>
      <c r="P450" s="30"/>
      <c r="Q450" s="47"/>
      <c r="S450" s="47"/>
      <c r="V450" s="47"/>
      <c r="W450" s="30">
        <v>5.5</v>
      </c>
      <c r="X450" s="47">
        <f t="shared" ref="X450:X453" si="446">V450+W450</f>
        <v>5.5</v>
      </c>
      <c r="Z450" s="47">
        <f t="shared" ref="Z450:Z451" si="447">X450+Y450</f>
        <v>5.5</v>
      </c>
      <c r="AA450" s="86">
        <v>5.5</v>
      </c>
      <c r="AB450" s="85">
        <f t="shared" si="406"/>
        <v>1</v>
      </c>
    </row>
    <row r="451" spans="1:28" x14ac:dyDescent="0.25">
      <c r="A451" s="41" t="s">
        <v>324</v>
      </c>
      <c r="B451" s="40"/>
      <c r="C451" s="40" t="s">
        <v>43</v>
      </c>
      <c r="D451" s="40" t="s">
        <v>15</v>
      </c>
      <c r="E451" s="40" t="s">
        <v>316</v>
      </c>
      <c r="F451" s="40" t="s">
        <v>323</v>
      </c>
      <c r="G451" s="29"/>
      <c r="I451" s="47">
        <v>0</v>
      </c>
      <c r="K451" s="47"/>
      <c r="M451" s="47"/>
      <c r="O451" s="47"/>
      <c r="P451" s="30"/>
      <c r="Q451" s="47"/>
      <c r="S451" s="47"/>
      <c r="V451" s="47"/>
      <c r="W451" s="30">
        <v>10.9</v>
      </c>
      <c r="X451" s="47">
        <f t="shared" si="446"/>
        <v>10.9</v>
      </c>
      <c r="Z451" s="47">
        <f t="shared" si="447"/>
        <v>10.9</v>
      </c>
      <c r="AA451" s="86">
        <v>10.89</v>
      </c>
      <c r="AB451" s="85">
        <f t="shared" si="406"/>
        <v>0.99908256880733948</v>
      </c>
    </row>
    <row r="452" spans="1:28" x14ac:dyDescent="0.25">
      <c r="A452" s="41" t="s">
        <v>650</v>
      </c>
      <c r="B452" s="40"/>
      <c r="C452" s="40" t="s">
        <v>43</v>
      </c>
      <c r="D452" s="40" t="s">
        <v>15</v>
      </c>
      <c r="E452" s="40" t="s">
        <v>649</v>
      </c>
      <c r="F452" s="40"/>
      <c r="G452" s="29"/>
      <c r="I452" s="47">
        <v>0</v>
      </c>
      <c r="K452" s="47"/>
      <c r="M452" s="47"/>
      <c r="O452" s="47"/>
      <c r="P452" s="30"/>
      <c r="Q452" s="47"/>
      <c r="S452" s="47"/>
      <c r="V452" s="47"/>
      <c r="X452" s="47">
        <f>X453</f>
        <v>30</v>
      </c>
      <c r="Z452" s="47">
        <f>Z453</f>
        <v>30</v>
      </c>
      <c r="AA452" s="47">
        <f>AA453</f>
        <v>30</v>
      </c>
      <c r="AB452" s="85">
        <f t="shared" si="406"/>
        <v>1</v>
      </c>
    </row>
    <row r="453" spans="1:28" ht="21" customHeight="1" x14ac:dyDescent="0.25">
      <c r="A453" s="19" t="s">
        <v>223</v>
      </c>
      <c r="B453" s="40"/>
      <c r="C453" s="40" t="s">
        <v>43</v>
      </c>
      <c r="D453" s="40" t="s">
        <v>15</v>
      </c>
      <c r="E453" s="40" t="s">
        <v>649</v>
      </c>
      <c r="F453" s="40" t="s">
        <v>224</v>
      </c>
      <c r="G453" s="29"/>
      <c r="I453" s="47">
        <v>0</v>
      </c>
      <c r="K453" s="47"/>
      <c r="M453" s="47"/>
      <c r="O453" s="47"/>
      <c r="P453" s="30"/>
      <c r="Q453" s="47"/>
      <c r="S453" s="47"/>
      <c r="V453" s="47"/>
      <c r="W453" s="30">
        <v>30</v>
      </c>
      <c r="X453" s="47">
        <f t="shared" si="446"/>
        <v>30</v>
      </c>
      <c r="Z453" s="47">
        <f t="shared" ref="Z453" si="448">X453+Y453</f>
        <v>30</v>
      </c>
      <c r="AA453" s="86">
        <v>30</v>
      </c>
      <c r="AB453" s="85">
        <f t="shared" si="406"/>
        <v>1</v>
      </c>
    </row>
    <row r="454" spans="1:28" ht="15" customHeight="1" x14ac:dyDescent="0.25">
      <c r="A454" s="44" t="s">
        <v>567</v>
      </c>
      <c r="B454" s="35" t="s">
        <v>87</v>
      </c>
      <c r="C454" s="35"/>
      <c r="D454" s="35"/>
      <c r="E454" s="35"/>
      <c r="F454" s="35"/>
      <c r="G454" s="36">
        <f>G458</f>
        <v>1561.8999999999999</v>
      </c>
      <c r="I454" s="48">
        <f>I458</f>
        <v>1639.3999999999999</v>
      </c>
      <c r="K454" s="48">
        <f>K458</f>
        <v>1639.3999999999999</v>
      </c>
      <c r="M454" s="48">
        <f>M458</f>
        <v>1671.83</v>
      </c>
      <c r="O454" s="48">
        <f>O458</f>
        <v>1671.83</v>
      </c>
      <c r="P454" s="30"/>
      <c r="Q454" s="48">
        <f>Q458</f>
        <v>1671.83</v>
      </c>
      <c r="S454" s="48">
        <f>S458</f>
        <v>1761.83</v>
      </c>
      <c r="V454" s="48">
        <f>V458</f>
        <v>1761.83</v>
      </c>
      <c r="X454" s="48">
        <f>X458+X455</f>
        <v>1832.4299999999998</v>
      </c>
      <c r="Z454" s="48">
        <f>Z458+Z455</f>
        <v>1832.4299999999998</v>
      </c>
      <c r="AA454" s="48">
        <f>AA458+AA455</f>
        <v>1766.5900000000001</v>
      </c>
      <c r="AB454" s="87">
        <f t="shared" si="406"/>
        <v>0.96406956882391159</v>
      </c>
    </row>
    <row r="455" spans="1:28" ht="15" customHeight="1" x14ac:dyDescent="0.25">
      <c r="A455" s="42" t="s">
        <v>180</v>
      </c>
      <c r="B455" s="35"/>
      <c r="C455" s="35" t="s">
        <v>24</v>
      </c>
      <c r="D455" s="35" t="s">
        <v>17</v>
      </c>
      <c r="E455" s="35"/>
      <c r="F455" s="35"/>
      <c r="G455" s="36"/>
      <c r="I455" s="48">
        <v>0</v>
      </c>
      <c r="K455" s="48"/>
      <c r="M455" s="48"/>
      <c r="O455" s="48"/>
      <c r="P455" s="30"/>
      <c r="Q455" s="48"/>
      <c r="S455" s="48"/>
      <c r="V455" s="48"/>
      <c r="X455" s="48">
        <f>X456</f>
        <v>8.6999999999999993</v>
      </c>
      <c r="Z455" s="48">
        <f>Z456</f>
        <v>8.6999999999999993</v>
      </c>
      <c r="AA455" s="48">
        <f>AA456</f>
        <v>8.6999999999999993</v>
      </c>
      <c r="AB455" s="87">
        <f t="shared" si="406"/>
        <v>1</v>
      </c>
    </row>
    <row r="456" spans="1:28" ht="15" customHeight="1" x14ac:dyDescent="0.25">
      <c r="A456" s="19" t="s">
        <v>338</v>
      </c>
      <c r="B456" s="40"/>
      <c r="C456" s="40" t="s">
        <v>24</v>
      </c>
      <c r="D456" s="40" t="s">
        <v>17</v>
      </c>
      <c r="E456" s="40" t="s">
        <v>339</v>
      </c>
      <c r="F456" s="40"/>
      <c r="G456" s="36"/>
      <c r="I456" s="47">
        <v>0</v>
      </c>
      <c r="K456" s="48"/>
      <c r="M456" s="48"/>
      <c r="O456" s="48"/>
      <c r="P456" s="30"/>
      <c r="Q456" s="48"/>
      <c r="S456" s="48"/>
      <c r="V456" s="48"/>
      <c r="X456" s="47">
        <f>X457</f>
        <v>8.6999999999999993</v>
      </c>
      <c r="Z456" s="47">
        <f>Z457</f>
        <v>8.6999999999999993</v>
      </c>
      <c r="AA456" s="47">
        <f>AA457</f>
        <v>8.6999999999999993</v>
      </c>
      <c r="AB456" s="85">
        <f t="shared" si="406"/>
        <v>1</v>
      </c>
    </row>
    <row r="457" spans="1:28" ht="15" customHeight="1" x14ac:dyDescent="0.25">
      <c r="A457" s="43" t="s">
        <v>244</v>
      </c>
      <c r="B457" s="40"/>
      <c r="C457" s="40" t="s">
        <v>24</v>
      </c>
      <c r="D457" s="40" t="s">
        <v>17</v>
      </c>
      <c r="E457" s="40" t="s">
        <v>339</v>
      </c>
      <c r="F457" s="40" t="s">
        <v>225</v>
      </c>
      <c r="G457" s="36"/>
      <c r="I457" s="47">
        <v>0</v>
      </c>
      <c r="K457" s="48"/>
      <c r="M457" s="48"/>
      <c r="O457" s="48"/>
      <c r="P457" s="30"/>
      <c r="Q457" s="48"/>
      <c r="S457" s="48"/>
      <c r="V457" s="48"/>
      <c r="W457" s="30">
        <v>8.6999999999999993</v>
      </c>
      <c r="X457" s="47">
        <f>W457+V457</f>
        <v>8.6999999999999993</v>
      </c>
      <c r="Z457" s="47">
        <f>Y457+X457</f>
        <v>8.6999999999999993</v>
      </c>
      <c r="AA457" s="86">
        <v>8.6999999999999993</v>
      </c>
      <c r="AB457" s="85">
        <f t="shared" si="406"/>
        <v>1</v>
      </c>
    </row>
    <row r="458" spans="1:28" x14ac:dyDescent="0.25">
      <c r="A458" s="34" t="s">
        <v>247</v>
      </c>
      <c r="B458" s="35"/>
      <c r="C458" s="35" t="s">
        <v>43</v>
      </c>
      <c r="D458" s="35"/>
      <c r="E458" s="35"/>
      <c r="F458" s="35"/>
      <c r="G458" s="36">
        <f>G459</f>
        <v>1561.8999999999999</v>
      </c>
      <c r="I458" s="48">
        <f>I459</f>
        <v>1639.3999999999999</v>
      </c>
      <c r="K458" s="48">
        <f>K459</f>
        <v>1639.3999999999999</v>
      </c>
      <c r="M458" s="48">
        <f>M459</f>
        <v>1671.83</v>
      </c>
      <c r="O458" s="48">
        <f>O459</f>
        <v>1671.83</v>
      </c>
      <c r="P458" s="30"/>
      <c r="Q458" s="48">
        <f>Q459</f>
        <v>1671.83</v>
      </c>
      <c r="S458" s="48">
        <f>S459</f>
        <v>1761.83</v>
      </c>
      <c r="V458" s="48">
        <f>V459</f>
        <v>1761.83</v>
      </c>
      <c r="X458" s="48">
        <f>X459</f>
        <v>1823.7299999999998</v>
      </c>
      <c r="Z458" s="48">
        <f t="shared" ref="Z458:AA460" si="449">Z459</f>
        <v>1823.7299999999998</v>
      </c>
      <c r="AA458" s="48">
        <f t="shared" si="449"/>
        <v>1757.89</v>
      </c>
      <c r="AB458" s="87">
        <f t="shared" si="406"/>
        <v>0.96389816475026469</v>
      </c>
    </row>
    <row r="459" spans="1:28" x14ac:dyDescent="0.25">
      <c r="A459" s="34" t="s">
        <v>154</v>
      </c>
      <c r="B459" s="35"/>
      <c r="C459" s="35" t="s">
        <v>43</v>
      </c>
      <c r="D459" s="35" t="s">
        <v>15</v>
      </c>
      <c r="E459" s="35"/>
      <c r="F459" s="35"/>
      <c r="G459" s="36">
        <f>G460</f>
        <v>1561.8999999999999</v>
      </c>
      <c r="I459" s="48">
        <f>I460</f>
        <v>1639.3999999999999</v>
      </c>
      <c r="K459" s="48">
        <f>K460</f>
        <v>1639.3999999999999</v>
      </c>
      <c r="M459" s="48">
        <f>M460</f>
        <v>1671.83</v>
      </c>
      <c r="O459" s="48">
        <f>O460</f>
        <v>1671.83</v>
      </c>
      <c r="P459" s="30"/>
      <c r="Q459" s="48">
        <f>Q460</f>
        <v>1671.83</v>
      </c>
      <c r="S459" s="48">
        <f>S460</f>
        <v>1761.83</v>
      </c>
      <c r="V459" s="48">
        <f>V460</f>
        <v>1761.83</v>
      </c>
      <c r="X459" s="48">
        <f>X460</f>
        <v>1823.7299999999998</v>
      </c>
      <c r="Z459" s="48">
        <f t="shared" si="449"/>
        <v>1823.7299999999998</v>
      </c>
      <c r="AA459" s="48">
        <f t="shared" si="449"/>
        <v>1757.89</v>
      </c>
      <c r="AB459" s="87">
        <f t="shared" si="406"/>
        <v>0.96389816475026469</v>
      </c>
    </row>
    <row r="460" spans="1:28" x14ac:dyDescent="0.25">
      <c r="A460" s="19" t="s">
        <v>318</v>
      </c>
      <c r="B460" s="40"/>
      <c r="C460" s="40" t="s">
        <v>43</v>
      </c>
      <c r="D460" s="40" t="s">
        <v>15</v>
      </c>
      <c r="E460" s="40" t="s">
        <v>319</v>
      </c>
      <c r="F460" s="40"/>
      <c r="G460" s="29">
        <f>G461</f>
        <v>1561.8999999999999</v>
      </c>
      <c r="I460" s="47">
        <f>I461</f>
        <v>1639.3999999999999</v>
      </c>
      <c r="K460" s="47">
        <f>K461</f>
        <v>1639.3999999999999</v>
      </c>
      <c r="M460" s="47">
        <f>M461</f>
        <v>1671.83</v>
      </c>
      <c r="O460" s="47">
        <f>O461</f>
        <v>1671.83</v>
      </c>
      <c r="P460" s="30"/>
      <c r="Q460" s="47">
        <f>Q461</f>
        <v>1671.83</v>
      </c>
      <c r="S460" s="47">
        <f>S461</f>
        <v>1761.83</v>
      </c>
      <c r="V460" s="47">
        <f>V461</f>
        <v>1761.83</v>
      </c>
      <c r="X460" s="47">
        <f>X461</f>
        <v>1823.7299999999998</v>
      </c>
      <c r="Z460" s="47">
        <f t="shared" si="449"/>
        <v>1823.7299999999998</v>
      </c>
      <c r="AA460" s="47">
        <f t="shared" si="449"/>
        <v>1757.89</v>
      </c>
      <c r="AB460" s="85">
        <f t="shared" si="406"/>
        <v>0.96389816475026469</v>
      </c>
    </row>
    <row r="461" spans="1:28" x14ac:dyDescent="0.25">
      <c r="A461" s="41" t="s">
        <v>52</v>
      </c>
      <c r="B461" s="40"/>
      <c r="C461" s="40" t="s">
        <v>43</v>
      </c>
      <c r="D461" s="40" t="s">
        <v>15</v>
      </c>
      <c r="E461" s="40" t="s">
        <v>317</v>
      </c>
      <c r="F461" s="40"/>
      <c r="G461" s="29">
        <f>G462+G463+G464</f>
        <v>1561.8999999999999</v>
      </c>
      <c r="I461" s="47">
        <f>I462+I463+I464</f>
        <v>1639.3999999999999</v>
      </c>
      <c r="K461" s="47">
        <f>K462+K463+K464</f>
        <v>1639.3999999999999</v>
      </c>
      <c r="M461" s="47">
        <f>M462+M463+M464</f>
        <v>1671.83</v>
      </c>
      <c r="O461" s="47">
        <f>O462+O463+O464</f>
        <v>1671.83</v>
      </c>
      <c r="P461" s="30"/>
      <c r="Q461" s="47">
        <f>Q462+Q463+Q464</f>
        <v>1671.83</v>
      </c>
      <c r="S461" s="47">
        <f>S462+S463+S464</f>
        <v>1761.83</v>
      </c>
      <c r="V461" s="47">
        <f>V462+V463+V464</f>
        <v>1761.83</v>
      </c>
      <c r="X461" s="47">
        <f>X462+X463+X464</f>
        <v>1823.7299999999998</v>
      </c>
      <c r="Z461" s="47">
        <f>Z462+Z463+Z464+Z465+Z466</f>
        <v>1823.7299999999998</v>
      </c>
      <c r="AA461" s="47">
        <f>AA462+AA463+AA464+AA465+AA466</f>
        <v>1757.89</v>
      </c>
      <c r="AB461" s="85">
        <f t="shared" ref="AB461:AB524" si="450">AA461/Z461</f>
        <v>0.96389816475026469</v>
      </c>
    </row>
    <row r="462" spans="1:28" x14ac:dyDescent="0.25">
      <c r="A462" s="19" t="s">
        <v>217</v>
      </c>
      <c r="B462" s="40"/>
      <c r="C462" s="40" t="s">
        <v>43</v>
      </c>
      <c r="D462" s="40" t="s">
        <v>15</v>
      </c>
      <c r="E462" s="40" t="s">
        <v>317</v>
      </c>
      <c r="F462" s="40" t="s">
        <v>218</v>
      </c>
      <c r="G462" s="29">
        <f>1089.6+70.8</f>
        <v>1160.3999999999999</v>
      </c>
      <c r="H462" s="52">
        <v>76.5</v>
      </c>
      <c r="I462" s="47">
        <f t="shared" ref="I462:K464" si="451">G462+H462</f>
        <v>1236.8999999999999</v>
      </c>
      <c r="K462" s="47">
        <f t="shared" si="451"/>
        <v>1236.8999999999999</v>
      </c>
      <c r="L462" s="30">
        <v>32.43</v>
      </c>
      <c r="M462" s="47">
        <f t="shared" ref="M462:M464" si="452">K462+L462</f>
        <v>1269.33</v>
      </c>
      <c r="O462" s="47">
        <f t="shared" ref="O462:O464" si="453">M462+N462</f>
        <v>1269.33</v>
      </c>
      <c r="P462" s="30"/>
      <c r="Q462" s="47">
        <f t="shared" ref="Q462:Q464" si="454">O462+P462</f>
        <v>1269.33</v>
      </c>
      <c r="S462" s="47">
        <f t="shared" ref="S462:S464" si="455">Q462+R462</f>
        <v>1269.33</v>
      </c>
      <c r="V462" s="47">
        <f>S462+U462</f>
        <v>1269.33</v>
      </c>
      <c r="X462" s="47">
        <f>V462+W462</f>
        <v>1269.33</v>
      </c>
      <c r="Z462" s="47">
        <f>X462+Y462</f>
        <v>1269.33</v>
      </c>
      <c r="AA462" s="86">
        <v>1244.6300000000001</v>
      </c>
      <c r="AB462" s="85">
        <f t="shared" si="450"/>
        <v>0.98054091528601717</v>
      </c>
    </row>
    <row r="463" spans="1:28" ht="15.75" customHeight="1" x14ac:dyDescent="0.25">
      <c r="A463" s="19" t="s">
        <v>223</v>
      </c>
      <c r="B463" s="40"/>
      <c r="C463" s="40" t="s">
        <v>43</v>
      </c>
      <c r="D463" s="40" t="s">
        <v>15</v>
      </c>
      <c r="E463" s="40" t="s">
        <v>317</v>
      </c>
      <c r="F463" s="40" t="s">
        <v>224</v>
      </c>
      <c r="G463" s="29">
        <v>79.8</v>
      </c>
      <c r="I463" s="47">
        <f t="shared" si="451"/>
        <v>79.8</v>
      </c>
      <c r="K463" s="47">
        <f t="shared" si="451"/>
        <v>79.8</v>
      </c>
      <c r="M463" s="47">
        <f t="shared" si="452"/>
        <v>79.8</v>
      </c>
      <c r="N463" s="30">
        <v>-1</v>
      </c>
      <c r="O463" s="47">
        <f t="shared" si="453"/>
        <v>78.8</v>
      </c>
      <c r="P463" s="30"/>
      <c r="Q463" s="47">
        <f t="shared" si="454"/>
        <v>78.8</v>
      </c>
      <c r="S463" s="47">
        <f t="shared" si="455"/>
        <v>78.8</v>
      </c>
      <c r="V463" s="47">
        <f>S463+U463</f>
        <v>78.8</v>
      </c>
      <c r="X463" s="47">
        <f>V463+W463</f>
        <v>78.8</v>
      </c>
      <c r="Z463" s="47">
        <f>X463+Y463</f>
        <v>78.8</v>
      </c>
      <c r="AA463" s="86">
        <v>74.73</v>
      </c>
      <c r="AB463" s="85">
        <f t="shared" si="450"/>
        <v>0.94835025380710669</v>
      </c>
    </row>
    <row r="464" spans="1:28" x14ac:dyDescent="0.25">
      <c r="A464" s="43" t="s">
        <v>244</v>
      </c>
      <c r="B464" s="40"/>
      <c r="C464" s="40" t="s">
        <v>43</v>
      </c>
      <c r="D464" s="40" t="s">
        <v>15</v>
      </c>
      <c r="E464" s="40" t="s">
        <v>317</v>
      </c>
      <c r="F464" s="40" t="s">
        <v>225</v>
      </c>
      <c r="G464" s="29">
        <v>321.7</v>
      </c>
      <c r="H464" s="52">
        <v>1</v>
      </c>
      <c r="I464" s="47">
        <f t="shared" si="451"/>
        <v>322.7</v>
      </c>
      <c r="K464" s="47">
        <f t="shared" si="451"/>
        <v>322.7</v>
      </c>
      <c r="M464" s="47">
        <f t="shared" si="452"/>
        <v>322.7</v>
      </c>
      <c r="N464" s="30">
        <v>1</v>
      </c>
      <c r="O464" s="47">
        <f t="shared" si="453"/>
        <v>323.7</v>
      </c>
      <c r="P464" s="30"/>
      <c r="Q464" s="47">
        <f t="shared" si="454"/>
        <v>323.7</v>
      </c>
      <c r="R464" s="30">
        <v>90</v>
      </c>
      <c r="S464" s="47">
        <f t="shared" si="455"/>
        <v>413.7</v>
      </c>
      <c r="V464" s="47">
        <f>S464+U464</f>
        <v>413.7</v>
      </c>
      <c r="W464" s="30">
        <v>61.9</v>
      </c>
      <c r="X464" s="47">
        <f>V464+W464</f>
        <v>475.59999999999997</v>
      </c>
      <c r="Y464" s="30">
        <v>-8.61</v>
      </c>
      <c r="Z464" s="47">
        <f>X464+Y464</f>
        <v>466.98999999999995</v>
      </c>
      <c r="AA464" s="86">
        <v>430.52</v>
      </c>
      <c r="AB464" s="85">
        <f t="shared" si="450"/>
        <v>0.92190410929570232</v>
      </c>
    </row>
    <row r="465" spans="1:29" x14ac:dyDescent="0.25">
      <c r="A465" s="43" t="s">
        <v>347</v>
      </c>
      <c r="B465" s="40"/>
      <c r="C465" s="40" t="s">
        <v>43</v>
      </c>
      <c r="D465" s="40" t="s">
        <v>15</v>
      </c>
      <c r="E465" s="40" t="s">
        <v>317</v>
      </c>
      <c r="F465" s="40" t="s">
        <v>346</v>
      </c>
      <c r="G465" s="29"/>
      <c r="I465" s="47">
        <v>0</v>
      </c>
      <c r="K465" s="47"/>
      <c r="M465" s="47"/>
      <c r="O465" s="47"/>
      <c r="P465" s="30"/>
      <c r="Q465" s="47"/>
      <c r="S465" s="47"/>
      <c r="V465" s="47"/>
      <c r="X465" s="47"/>
      <c r="Y465" s="30">
        <v>0.26</v>
      </c>
      <c r="Z465" s="47">
        <f>X465+Y465</f>
        <v>0.26</v>
      </c>
      <c r="AA465" s="86">
        <v>0.26</v>
      </c>
      <c r="AB465" s="85">
        <f t="shared" si="450"/>
        <v>1</v>
      </c>
    </row>
    <row r="466" spans="1:29" x14ac:dyDescent="0.25">
      <c r="A466" s="41" t="s">
        <v>324</v>
      </c>
      <c r="B466" s="40"/>
      <c r="C466" s="40" t="s">
        <v>43</v>
      </c>
      <c r="D466" s="40" t="s">
        <v>15</v>
      </c>
      <c r="E466" s="40" t="s">
        <v>317</v>
      </c>
      <c r="F466" s="40" t="s">
        <v>323</v>
      </c>
      <c r="G466" s="29"/>
      <c r="I466" s="47">
        <v>0</v>
      </c>
      <c r="K466" s="47"/>
      <c r="M466" s="47"/>
      <c r="O466" s="47"/>
      <c r="P466" s="30"/>
      <c r="Q466" s="47"/>
      <c r="S466" s="47"/>
      <c r="V466" s="47"/>
      <c r="X466" s="47"/>
      <c r="Y466" s="30">
        <v>8.35</v>
      </c>
      <c r="Z466" s="47">
        <f>X466+Y466</f>
        <v>8.35</v>
      </c>
      <c r="AA466" s="86">
        <v>7.75</v>
      </c>
      <c r="AB466" s="85">
        <f t="shared" si="450"/>
        <v>0.92814371257485029</v>
      </c>
    </row>
    <row r="467" spans="1:29" ht="30" customHeight="1" x14ac:dyDescent="0.25">
      <c r="A467" s="44" t="s">
        <v>376</v>
      </c>
      <c r="B467" s="35" t="s">
        <v>427</v>
      </c>
      <c r="C467" s="35"/>
      <c r="D467" s="35"/>
      <c r="E467" s="35"/>
      <c r="F467" s="35"/>
      <c r="G467" s="36">
        <f>G468+G545</f>
        <v>16819.3</v>
      </c>
      <c r="H467" s="52">
        <f>SUM(H468:H557)</f>
        <v>16180.099999999999</v>
      </c>
      <c r="I467" s="48">
        <f>I468+I545+I523</f>
        <v>32999.4</v>
      </c>
      <c r="K467" s="48">
        <f>K468+K545+K523</f>
        <v>30226.74</v>
      </c>
      <c r="M467" s="48">
        <f>M468+M545+M523</f>
        <v>162492.89000000001</v>
      </c>
      <c r="O467" s="48">
        <f>O468+O545+O523</f>
        <v>200178.98</v>
      </c>
      <c r="P467" s="30"/>
      <c r="Q467" s="48">
        <f>Q468+Q545+Q523</f>
        <v>200178.98</v>
      </c>
      <c r="S467" s="48">
        <f>S468+S545+S523</f>
        <v>261241.60000000003</v>
      </c>
      <c r="V467" s="48">
        <f>V468+V545+V523</f>
        <v>261241.60000000003</v>
      </c>
      <c r="X467" s="48">
        <f>X468+X545+X523+X558</f>
        <v>262332.96000000002</v>
      </c>
      <c r="Z467" s="48">
        <f>Z468+Z545+Z523+Z558</f>
        <v>382136.10000000003</v>
      </c>
      <c r="AA467" s="48">
        <f>AA468+AA545+AA523+AA558</f>
        <v>145983.79</v>
      </c>
      <c r="AB467" s="87">
        <f t="shared" si="450"/>
        <v>0.38202041105250195</v>
      </c>
    </row>
    <row r="468" spans="1:29" x14ac:dyDescent="0.25">
      <c r="A468" s="39" t="s">
        <v>42</v>
      </c>
      <c r="B468" s="40"/>
      <c r="C468" s="35" t="s">
        <v>24</v>
      </c>
      <c r="D468" s="35"/>
      <c r="E468" s="35"/>
      <c r="F468" s="35"/>
      <c r="G468" s="36">
        <f>G509+G500</f>
        <v>6819.3</v>
      </c>
      <c r="H468" s="56"/>
      <c r="I468" s="48">
        <f>I509+I500</f>
        <v>10588.310000000001</v>
      </c>
      <c r="J468" s="57"/>
      <c r="K468" s="48">
        <f>K509+K500</f>
        <v>10718.310000000001</v>
      </c>
      <c r="L468" s="66"/>
      <c r="M468" s="48">
        <f>M509+M500+M469+M486</f>
        <v>105776.34000000001</v>
      </c>
      <c r="N468" s="66"/>
      <c r="O468" s="48">
        <f>O509+O500+O469+O486</f>
        <v>139148.37</v>
      </c>
      <c r="P468" s="66"/>
      <c r="Q468" s="48">
        <f>Q509+Q500+Q469+Q486</f>
        <v>139148.37</v>
      </c>
      <c r="R468" s="66"/>
      <c r="S468" s="48">
        <f>S509+S500+S469+S486</f>
        <v>180270.17</v>
      </c>
      <c r="U468" s="66"/>
      <c r="V468" s="48">
        <f>V509+V500+V469+V486</f>
        <v>180270.17</v>
      </c>
      <c r="W468" s="66"/>
      <c r="X468" s="48">
        <f>X509+X500+X469+X486</f>
        <v>170131.66</v>
      </c>
      <c r="Y468" s="66"/>
      <c r="Z468" s="48">
        <f>Z509+Z500+Z469+Z486</f>
        <v>169425.80000000002</v>
      </c>
      <c r="AA468" s="48">
        <f>AA509+AA500+AA469+AA486</f>
        <v>74425.509999999995</v>
      </c>
      <c r="AB468" s="87">
        <f t="shared" si="450"/>
        <v>0.43928085332930394</v>
      </c>
    </row>
    <row r="469" spans="1:29" x14ac:dyDescent="0.25">
      <c r="A469" s="60" t="s">
        <v>180</v>
      </c>
      <c r="B469" s="35"/>
      <c r="C469" s="35" t="s">
        <v>24</v>
      </c>
      <c r="D469" s="35" t="s">
        <v>17</v>
      </c>
      <c r="E469" s="35"/>
      <c r="F469" s="35"/>
      <c r="G469" s="36"/>
      <c r="H469" s="56"/>
      <c r="I469" s="48">
        <v>0</v>
      </c>
      <c r="J469" s="57"/>
      <c r="K469" s="48"/>
      <c r="L469" s="66"/>
      <c r="M469" s="48">
        <f>M470+M477</f>
        <v>3101.9200000000005</v>
      </c>
      <c r="N469" s="66"/>
      <c r="O469" s="48">
        <f>O470+O477</f>
        <v>3101.9200000000005</v>
      </c>
      <c r="P469" s="66"/>
      <c r="Q469" s="48">
        <f>Q470+Q477</f>
        <v>3101.9200000000005</v>
      </c>
      <c r="R469" s="66"/>
      <c r="S469" s="48">
        <f>S470+S477</f>
        <v>3290.2800000000007</v>
      </c>
      <c r="U469" s="66"/>
      <c r="V469" s="48">
        <f>V470+V477</f>
        <v>3290.2800000000007</v>
      </c>
      <c r="W469" s="66"/>
      <c r="X469" s="48">
        <f>X470+X477</f>
        <v>3290.2800000000007</v>
      </c>
      <c r="Y469" s="66"/>
      <c r="Z469" s="48">
        <f>Z470+Z477</f>
        <v>3362.3599999999997</v>
      </c>
      <c r="AA469" s="48">
        <f>AA470+AA477</f>
        <v>1738.3400000000001</v>
      </c>
      <c r="AB469" s="87">
        <f t="shared" si="450"/>
        <v>0.51699996431078177</v>
      </c>
    </row>
    <row r="470" spans="1:29" x14ac:dyDescent="0.25">
      <c r="A470" s="61" t="s">
        <v>475</v>
      </c>
      <c r="B470" s="35"/>
      <c r="C470" s="35" t="s">
        <v>24</v>
      </c>
      <c r="D470" s="35" t="s">
        <v>17</v>
      </c>
      <c r="E470" s="35" t="s">
        <v>474</v>
      </c>
      <c r="F470" s="35"/>
      <c r="G470" s="36"/>
      <c r="H470" s="56"/>
      <c r="I470" s="48">
        <v>0</v>
      </c>
      <c r="J470" s="57"/>
      <c r="K470" s="48"/>
      <c r="L470" s="66"/>
      <c r="M470" s="48">
        <f>M471+M473+M475</f>
        <v>2581.7500000000005</v>
      </c>
      <c r="N470" s="66"/>
      <c r="O470" s="48">
        <f>O471+O473+O475</f>
        <v>2581.7500000000005</v>
      </c>
      <c r="P470" s="66"/>
      <c r="Q470" s="48">
        <f>Q471+Q473+Q475</f>
        <v>2581.7500000000005</v>
      </c>
      <c r="R470" s="66"/>
      <c r="S470" s="48">
        <f>S471+S473+S475</f>
        <v>2581.7500000000005</v>
      </c>
      <c r="U470" s="66"/>
      <c r="V470" s="48">
        <f>V471+V473+V475</f>
        <v>2581.7500000000005</v>
      </c>
      <c r="W470" s="66"/>
      <c r="X470" s="48">
        <f>X471+X473+X475</f>
        <v>2581.7500000000005</v>
      </c>
      <c r="Y470" s="66"/>
      <c r="Z470" s="48">
        <f>Z471+Z473+Z475</f>
        <v>2574.33</v>
      </c>
      <c r="AA470" s="48">
        <f>AA471+AA473+AA475</f>
        <v>1014.13</v>
      </c>
      <c r="AB470" s="87">
        <f t="shared" si="450"/>
        <v>0.39393939393939392</v>
      </c>
    </row>
    <row r="471" spans="1:29" x14ac:dyDescent="0.25">
      <c r="A471" s="45" t="s">
        <v>465</v>
      </c>
      <c r="B471" s="40"/>
      <c r="C471" s="40" t="s">
        <v>24</v>
      </c>
      <c r="D471" s="40" t="s">
        <v>17</v>
      </c>
      <c r="E471" s="40" t="s">
        <v>463</v>
      </c>
      <c r="F471" s="40"/>
      <c r="G471" s="29"/>
      <c r="I471" s="47">
        <v>0</v>
      </c>
      <c r="K471" s="47"/>
      <c r="M471" s="47">
        <f>M472</f>
        <v>13.32</v>
      </c>
      <c r="O471" s="47">
        <f>O472</f>
        <v>13.32</v>
      </c>
      <c r="P471" s="30"/>
      <c r="Q471" s="47">
        <f>Q472</f>
        <v>13.32</v>
      </c>
      <c r="S471" s="47">
        <f>S472</f>
        <v>13.32</v>
      </c>
      <c r="V471" s="47">
        <f>V472</f>
        <v>13.32</v>
      </c>
      <c r="X471" s="47">
        <f>X472</f>
        <v>13.32</v>
      </c>
      <c r="Z471" s="47">
        <f>Z472</f>
        <v>13.120000000000001</v>
      </c>
      <c r="AA471" s="47">
        <f>AA472</f>
        <v>11.26</v>
      </c>
      <c r="AB471" s="85">
        <f t="shared" si="450"/>
        <v>0.8582317073170731</v>
      </c>
    </row>
    <row r="472" spans="1:29" ht="31.5" x14ac:dyDescent="0.25">
      <c r="A472" s="19" t="s">
        <v>469</v>
      </c>
      <c r="B472" s="40"/>
      <c r="C472" s="40" t="s">
        <v>24</v>
      </c>
      <c r="D472" s="40" t="s">
        <v>17</v>
      </c>
      <c r="E472" s="40" t="s">
        <v>463</v>
      </c>
      <c r="F472" s="40" t="s">
        <v>325</v>
      </c>
      <c r="G472" s="29"/>
      <c r="I472" s="47">
        <v>0</v>
      </c>
      <c r="K472" s="47"/>
      <c r="L472" s="30">
        <v>13.32</v>
      </c>
      <c r="M472" s="47">
        <f t="shared" ref="M472:M474" si="456">K472+L472</f>
        <v>13.32</v>
      </c>
      <c r="O472" s="47">
        <f t="shared" ref="O472" si="457">M472+N472</f>
        <v>13.32</v>
      </c>
      <c r="P472" s="30"/>
      <c r="Q472" s="47">
        <f t="shared" ref="Q472" si="458">O472+P472</f>
        <v>13.32</v>
      </c>
      <c r="S472" s="47">
        <f t="shared" ref="S472" si="459">Q472+R472</f>
        <v>13.32</v>
      </c>
      <c r="V472" s="47">
        <f>S472+U472</f>
        <v>13.32</v>
      </c>
      <c r="X472" s="47">
        <f>V472+W472</f>
        <v>13.32</v>
      </c>
      <c r="Z472" s="47">
        <f>X472+Y472-0.2</f>
        <v>13.120000000000001</v>
      </c>
      <c r="AA472" s="86">
        <v>11.26</v>
      </c>
      <c r="AB472" s="85">
        <f t="shared" si="450"/>
        <v>0.8582317073170731</v>
      </c>
      <c r="AC472" s="50">
        <v>-0.2</v>
      </c>
    </row>
    <row r="473" spans="1:29" ht="31.5" x14ac:dyDescent="0.25">
      <c r="A473" s="45" t="s">
        <v>466</v>
      </c>
      <c r="B473" s="40"/>
      <c r="C473" s="40" t="s">
        <v>24</v>
      </c>
      <c r="D473" s="40" t="s">
        <v>17</v>
      </c>
      <c r="E473" s="40" t="s">
        <v>464</v>
      </c>
      <c r="F473" s="40"/>
      <c r="G473" s="29"/>
      <c r="I473" s="47">
        <v>0</v>
      </c>
      <c r="K473" s="47"/>
      <c r="M473" s="47">
        <f>M474</f>
        <v>2234.5700000000002</v>
      </c>
      <c r="O473" s="47">
        <f>O474</f>
        <v>2234.5700000000002</v>
      </c>
      <c r="P473" s="30"/>
      <c r="Q473" s="47">
        <f>Q474</f>
        <v>2234.5700000000002</v>
      </c>
      <c r="S473" s="47">
        <f>S474</f>
        <v>2234.5700000000002</v>
      </c>
      <c r="V473" s="47">
        <f>V474</f>
        <v>2234.5700000000002</v>
      </c>
      <c r="X473" s="47">
        <f>X474</f>
        <v>2234.5700000000002</v>
      </c>
      <c r="Z473" s="47">
        <f>Z474</f>
        <v>2234.5700000000002</v>
      </c>
      <c r="AA473" s="47">
        <f>AA474</f>
        <v>710.11</v>
      </c>
      <c r="AB473" s="85">
        <f t="shared" si="450"/>
        <v>0.31778373467826021</v>
      </c>
    </row>
    <row r="474" spans="1:29" x14ac:dyDescent="0.25">
      <c r="A474" s="43" t="s">
        <v>244</v>
      </c>
      <c r="B474" s="40"/>
      <c r="C474" s="40" t="s">
        <v>24</v>
      </c>
      <c r="D474" s="40" t="s">
        <v>17</v>
      </c>
      <c r="E474" s="40" t="s">
        <v>464</v>
      </c>
      <c r="F474" s="40" t="s">
        <v>225</v>
      </c>
      <c r="G474" s="29"/>
      <c r="I474" s="47">
        <v>0</v>
      </c>
      <c r="K474" s="47"/>
      <c r="L474" s="30">
        <v>2234.5700000000002</v>
      </c>
      <c r="M474" s="47">
        <f t="shared" si="456"/>
        <v>2234.5700000000002</v>
      </c>
      <c r="O474" s="47">
        <f t="shared" ref="O474" si="460">M474+N474</f>
        <v>2234.5700000000002</v>
      </c>
      <c r="P474" s="30"/>
      <c r="Q474" s="47">
        <f t="shared" ref="Q474" si="461">O474+P474</f>
        <v>2234.5700000000002</v>
      </c>
      <c r="S474" s="47">
        <f t="shared" ref="S474" si="462">Q474+R474</f>
        <v>2234.5700000000002</v>
      </c>
      <c r="V474" s="47">
        <f>S474+U474</f>
        <v>2234.5700000000002</v>
      </c>
      <c r="X474" s="47">
        <f>V474+W474</f>
        <v>2234.5700000000002</v>
      </c>
      <c r="Z474" s="47">
        <f>X474+Y474</f>
        <v>2234.5700000000002</v>
      </c>
      <c r="AA474" s="86">
        <v>710.11</v>
      </c>
      <c r="AB474" s="85">
        <f t="shared" si="450"/>
        <v>0.31778373467826021</v>
      </c>
    </row>
    <row r="475" spans="1:29" ht="31.5" customHeight="1" x14ac:dyDescent="0.25">
      <c r="A475" s="45" t="s">
        <v>468</v>
      </c>
      <c r="B475" s="40"/>
      <c r="C475" s="40" t="s">
        <v>24</v>
      </c>
      <c r="D475" s="40" t="s">
        <v>17</v>
      </c>
      <c r="E475" s="40" t="s">
        <v>467</v>
      </c>
      <c r="F475" s="40"/>
      <c r="G475" s="29"/>
      <c r="I475" s="47">
        <v>0</v>
      </c>
      <c r="K475" s="47"/>
      <c r="M475" s="47">
        <f>M476</f>
        <v>333.86</v>
      </c>
      <c r="O475" s="47">
        <f>O476</f>
        <v>333.86</v>
      </c>
      <c r="P475" s="30"/>
      <c r="Q475" s="47">
        <f>Q476</f>
        <v>333.86</v>
      </c>
      <c r="S475" s="47">
        <f>S476</f>
        <v>333.86</v>
      </c>
      <c r="V475" s="47">
        <f>V476</f>
        <v>333.86</v>
      </c>
      <c r="X475" s="47">
        <f>X476</f>
        <v>333.86</v>
      </c>
      <c r="Z475" s="47">
        <f>Z476</f>
        <v>326.64</v>
      </c>
      <c r="AA475" s="47">
        <f>AA476</f>
        <v>292.76</v>
      </c>
      <c r="AB475" s="85">
        <f t="shared" si="450"/>
        <v>0.89627724712221402</v>
      </c>
    </row>
    <row r="476" spans="1:29" ht="31.5" x14ac:dyDescent="0.25">
      <c r="A476" s="19" t="s">
        <v>469</v>
      </c>
      <c r="B476" s="40"/>
      <c r="C476" s="40" t="s">
        <v>24</v>
      </c>
      <c r="D476" s="40" t="s">
        <v>17</v>
      </c>
      <c r="E476" s="40" t="s">
        <v>467</v>
      </c>
      <c r="F476" s="40" t="s">
        <v>325</v>
      </c>
      <c r="G476" s="29"/>
      <c r="I476" s="47">
        <v>0</v>
      </c>
      <c r="K476" s="47"/>
      <c r="L476" s="30">
        <v>333.86</v>
      </c>
      <c r="M476" s="47">
        <f>L476+K476</f>
        <v>333.86</v>
      </c>
      <c r="O476" s="47">
        <f>N476+M476</f>
        <v>333.86</v>
      </c>
      <c r="P476" s="30"/>
      <c r="Q476" s="47">
        <f>P476+O476</f>
        <v>333.86</v>
      </c>
      <c r="S476" s="47">
        <f>R476+Q476</f>
        <v>333.86</v>
      </c>
      <c r="V476" s="47">
        <f>U476+S476</f>
        <v>333.86</v>
      </c>
      <c r="X476" s="47">
        <f>W476+V476</f>
        <v>333.86</v>
      </c>
      <c r="Z476" s="47">
        <f>Y476+X476-7.22</f>
        <v>326.64</v>
      </c>
      <c r="AA476" s="86">
        <v>292.76</v>
      </c>
      <c r="AB476" s="85">
        <f t="shared" si="450"/>
        <v>0.89627724712221402</v>
      </c>
      <c r="AC476" s="50">
        <v>-7.22</v>
      </c>
    </row>
    <row r="477" spans="1:29" x14ac:dyDescent="0.25">
      <c r="A477" s="42" t="s">
        <v>476</v>
      </c>
      <c r="B477" s="35"/>
      <c r="C477" s="35" t="s">
        <v>24</v>
      </c>
      <c r="D477" s="35" t="s">
        <v>17</v>
      </c>
      <c r="E477" s="35" t="s">
        <v>309</v>
      </c>
      <c r="F477" s="35"/>
      <c r="G477" s="36"/>
      <c r="H477" s="56"/>
      <c r="I477" s="48">
        <v>0</v>
      </c>
      <c r="J477" s="57"/>
      <c r="K477" s="48"/>
      <c r="L477" s="66"/>
      <c r="M477" s="48">
        <f>M478+M481</f>
        <v>520.16999999999996</v>
      </c>
      <c r="N477" s="66"/>
      <c r="O477" s="48">
        <f>O478+O481</f>
        <v>520.16999999999996</v>
      </c>
      <c r="P477" s="66"/>
      <c r="Q477" s="48">
        <f>Q478+Q481</f>
        <v>520.16999999999996</v>
      </c>
      <c r="R477" s="66"/>
      <c r="S477" s="48">
        <f>S478+S481+S484</f>
        <v>708.53</v>
      </c>
      <c r="U477" s="66"/>
      <c r="V477" s="48">
        <f>V478+V481+V484</f>
        <v>708.53</v>
      </c>
      <c r="W477" s="66"/>
      <c r="X477" s="48">
        <f>X478+X481+X484</f>
        <v>708.53</v>
      </c>
      <c r="Y477" s="66"/>
      <c r="Z477" s="48">
        <f>Z478+Z481+Z484</f>
        <v>788.03</v>
      </c>
      <c r="AA477" s="48">
        <f>AA478+AA481+AA484</f>
        <v>724.21</v>
      </c>
      <c r="AB477" s="87">
        <f t="shared" si="450"/>
        <v>0.91901323553671821</v>
      </c>
    </row>
    <row r="478" spans="1:29" ht="36" customHeight="1" x14ac:dyDescent="0.25">
      <c r="A478" s="45" t="s">
        <v>468</v>
      </c>
      <c r="B478" s="40"/>
      <c r="C478" s="40" t="s">
        <v>24</v>
      </c>
      <c r="D478" s="40" t="s">
        <v>17</v>
      </c>
      <c r="E478" s="40" t="s">
        <v>328</v>
      </c>
      <c r="F478" s="40"/>
      <c r="G478" s="29"/>
      <c r="I478" s="47">
        <v>0</v>
      </c>
      <c r="K478" s="47"/>
      <c r="M478" s="47">
        <f>M479+M480</f>
        <v>500.19</v>
      </c>
      <c r="O478" s="47">
        <f>O479+O480</f>
        <v>500.19</v>
      </c>
      <c r="P478" s="30"/>
      <c r="Q478" s="47">
        <f>Q479+Q480</f>
        <v>500.19</v>
      </c>
      <c r="S478" s="47">
        <f>S479+S480</f>
        <v>500.19</v>
      </c>
      <c r="V478" s="47">
        <f>V479+V480</f>
        <v>500.19</v>
      </c>
      <c r="X478" s="47">
        <f>X479+X480</f>
        <v>500.19</v>
      </c>
      <c r="Z478" s="47">
        <f>Z479+Z480</f>
        <v>500.19</v>
      </c>
      <c r="AA478" s="47">
        <f>AA479+AA480</f>
        <v>439.89</v>
      </c>
      <c r="AB478" s="85">
        <f t="shared" si="450"/>
        <v>0.87944581059197502</v>
      </c>
    </row>
    <row r="479" spans="1:29" ht="31.5" x14ac:dyDescent="0.25">
      <c r="A479" s="19" t="s">
        <v>470</v>
      </c>
      <c r="B479" s="40"/>
      <c r="C479" s="40" t="s">
        <v>24</v>
      </c>
      <c r="D479" s="40" t="s">
        <v>17</v>
      </c>
      <c r="E479" s="40" t="s">
        <v>328</v>
      </c>
      <c r="F479" s="40" t="s">
        <v>325</v>
      </c>
      <c r="G479" s="29"/>
      <c r="I479" s="47">
        <v>0</v>
      </c>
      <c r="K479" s="47"/>
      <c r="L479" s="30">
        <v>250.1</v>
      </c>
      <c r="M479" s="47">
        <f t="shared" ref="M479:M483" si="463">L479+K479</f>
        <v>250.1</v>
      </c>
      <c r="O479" s="47">
        <f t="shared" ref="O479:O480" si="464">N479+M479</f>
        <v>250.1</v>
      </c>
      <c r="P479" s="30"/>
      <c r="Q479" s="47">
        <f t="shared" ref="Q479:Q480" si="465">P479+O479</f>
        <v>250.1</v>
      </c>
      <c r="S479" s="47">
        <f t="shared" ref="S479:S480" si="466">R479+Q479</f>
        <v>250.1</v>
      </c>
      <c r="V479" s="47">
        <f>U479+S479</f>
        <v>250.1</v>
      </c>
      <c r="X479" s="47">
        <f>W479+V479</f>
        <v>250.1</v>
      </c>
      <c r="Z479" s="47">
        <f>Y479+X479</f>
        <v>250.1</v>
      </c>
      <c r="AA479" s="86">
        <v>219.57</v>
      </c>
      <c r="AB479" s="85">
        <f t="shared" si="450"/>
        <v>0.87792882846861253</v>
      </c>
    </row>
    <row r="480" spans="1:29" ht="31.5" x14ac:dyDescent="0.25">
      <c r="A480" s="19" t="s">
        <v>473</v>
      </c>
      <c r="B480" s="40"/>
      <c r="C480" s="40" t="s">
        <v>24</v>
      </c>
      <c r="D480" s="40" t="s">
        <v>17</v>
      </c>
      <c r="E480" s="40" t="s">
        <v>328</v>
      </c>
      <c r="F480" s="40" t="s">
        <v>325</v>
      </c>
      <c r="G480" s="29"/>
      <c r="I480" s="47">
        <v>0</v>
      </c>
      <c r="K480" s="47"/>
      <c r="L480" s="30">
        <v>250.09</v>
      </c>
      <c r="M480" s="47">
        <f t="shared" si="463"/>
        <v>250.09</v>
      </c>
      <c r="O480" s="47">
        <f t="shared" si="464"/>
        <v>250.09</v>
      </c>
      <c r="P480" s="30"/>
      <c r="Q480" s="47">
        <f t="shared" si="465"/>
        <v>250.09</v>
      </c>
      <c r="S480" s="47">
        <f t="shared" si="466"/>
        <v>250.09</v>
      </c>
      <c r="V480" s="47">
        <f>U480+S480</f>
        <v>250.09</v>
      </c>
      <c r="X480" s="47">
        <f>W480+V480</f>
        <v>250.09</v>
      </c>
      <c r="Z480" s="47">
        <f>Y480+X480</f>
        <v>250.09</v>
      </c>
      <c r="AA480" s="86">
        <f>143.98+76.34</f>
        <v>220.32</v>
      </c>
      <c r="AB480" s="85">
        <f t="shared" si="450"/>
        <v>0.88096285337278579</v>
      </c>
    </row>
    <row r="481" spans="1:28" x14ac:dyDescent="0.25">
      <c r="A481" s="45" t="s">
        <v>465</v>
      </c>
      <c r="B481" s="40"/>
      <c r="C481" s="40" t="s">
        <v>24</v>
      </c>
      <c r="D481" s="40" t="s">
        <v>17</v>
      </c>
      <c r="E481" s="40" t="s">
        <v>471</v>
      </c>
      <c r="F481" s="40"/>
      <c r="G481" s="29"/>
      <c r="I481" s="47">
        <v>0</v>
      </c>
      <c r="K481" s="47"/>
      <c r="M481" s="47">
        <f>M483</f>
        <v>19.98</v>
      </c>
      <c r="O481" s="47">
        <f>O483</f>
        <v>19.98</v>
      </c>
      <c r="P481" s="30"/>
      <c r="Q481" s="47">
        <f>Q483</f>
        <v>19.98</v>
      </c>
      <c r="S481" s="47">
        <f>S483+S482</f>
        <v>40.340000000000003</v>
      </c>
      <c r="V481" s="47">
        <f>V483+V482</f>
        <v>40.340000000000003</v>
      </c>
      <c r="X481" s="47">
        <f>X483+X482</f>
        <v>40.340000000000003</v>
      </c>
      <c r="Z481" s="47">
        <f>Z483+Z482</f>
        <v>40.340000000000003</v>
      </c>
      <c r="AA481" s="47">
        <f>AA483+AA482</f>
        <v>37.25</v>
      </c>
      <c r="AB481" s="85">
        <f t="shared" si="450"/>
        <v>0.92340109072880505</v>
      </c>
    </row>
    <row r="482" spans="1:28" x14ac:dyDescent="0.25">
      <c r="A482" s="43" t="s">
        <v>244</v>
      </c>
      <c r="B482" s="40"/>
      <c r="C482" s="40" t="s">
        <v>24</v>
      </c>
      <c r="D482" s="40" t="s">
        <v>17</v>
      </c>
      <c r="E482" s="40" t="s">
        <v>471</v>
      </c>
      <c r="F482" s="40" t="s">
        <v>225</v>
      </c>
      <c r="G482" s="29"/>
      <c r="I482" s="47">
        <v>0</v>
      </c>
      <c r="K482" s="47"/>
      <c r="M482" s="47"/>
      <c r="O482" s="47"/>
      <c r="P482" s="30"/>
      <c r="Q482" s="47"/>
      <c r="R482" s="30">
        <v>20.36</v>
      </c>
      <c r="S482" s="47">
        <f t="shared" ref="S482:S485" si="467">R482+Q482</f>
        <v>20.36</v>
      </c>
      <c r="V482" s="47">
        <f>U482+S482</f>
        <v>20.36</v>
      </c>
      <c r="X482" s="47">
        <f>W482+V482</f>
        <v>20.36</v>
      </c>
      <c r="Z482" s="47">
        <f>Y482+X482</f>
        <v>20.36</v>
      </c>
      <c r="AA482" s="86">
        <v>20.36</v>
      </c>
      <c r="AB482" s="85">
        <f t="shared" si="450"/>
        <v>1</v>
      </c>
    </row>
    <row r="483" spans="1:28" ht="31.5" x14ac:dyDescent="0.25">
      <c r="A483" s="19" t="s">
        <v>472</v>
      </c>
      <c r="B483" s="40"/>
      <c r="C483" s="40" t="s">
        <v>24</v>
      </c>
      <c r="D483" s="40" t="s">
        <v>17</v>
      </c>
      <c r="E483" s="40" t="s">
        <v>471</v>
      </c>
      <c r="F483" s="40" t="s">
        <v>325</v>
      </c>
      <c r="G483" s="29"/>
      <c r="I483" s="47">
        <v>0</v>
      </c>
      <c r="K483" s="47"/>
      <c r="L483" s="30">
        <v>19.98</v>
      </c>
      <c r="M483" s="47">
        <f t="shared" si="463"/>
        <v>19.98</v>
      </c>
      <c r="O483" s="47">
        <f t="shared" ref="O483" si="468">N483+M483</f>
        <v>19.98</v>
      </c>
      <c r="P483" s="30"/>
      <c r="Q483" s="47">
        <f t="shared" ref="Q483" si="469">P483+O483</f>
        <v>19.98</v>
      </c>
      <c r="S483" s="47">
        <f t="shared" si="467"/>
        <v>19.98</v>
      </c>
      <c r="V483" s="47">
        <f>U483+S483</f>
        <v>19.98</v>
      </c>
      <c r="X483" s="47">
        <f>W483+V483</f>
        <v>19.98</v>
      </c>
      <c r="Z483" s="47">
        <f>Y483+X483</f>
        <v>19.98</v>
      </c>
      <c r="AA483" s="86">
        <v>16.89</v>
      </c>
      <c r="AB483" s="85">
        <f t="shared" si="450"/>
        <v>0.84534534534534533</v>
      </c>
    </row>
    <row r="484" spans="1:28" ht="31.5" x14ac:dyDescent="0.25">
      <c r="A484" s="45" t="s">
        <v>466</v>
      </c>
      <c r="B484" s="40"/>
      <c r="C484" s="40" t="s">
        <v>24</v>
      </c>
      <c r="D484" s="40" t="s">
        <v>17</v>
      </c>
      <c r="E484" s="40" t="s">
        <v>608</v>
      </c>
      <c r="F484" s="40"/>
      <c r="G484" s="29"/>
      <c r="I484" s="47">
        <v>0</v>
      </c>
      <c r="K484" s="47"/>
      <c r="M484" s="47"/>
      <c r="O484" s="47"/>
      <c r="P484" s="30"/>
      <c r="Q484" s="47"/>
      <c r="S484" s="47">
        <f>S485</f>
        <v>168</v>
      </c>
      <c r="V484" s="47">
        <f>V485</f>
        <v>168</v>
      </c>
      <c r="X484" s="47">
        <f>X485</f>
        <v>168</v>
      </c>
      <c r="Z484" s="47">
        <f>Z485</f>
        <v>247.5</v>
      </c>
      <c r="AA484" s="47">
        <f>AA485</f>
        <v>247.07</v>
      </c>
      <c r="AB484" s="85">
        <f t="shared" si="450"/>
        <v>0.99826262626262618</v>
      </c>
    </row>
    <row r="485" spans="1:28" x14ac:dyDescent="0.25">
      <c r="A485" s="43" t="s">
        <v>244</v>
      </c>
      <c r="B485" s="40"/>
      <c r="C485" s="40" t="s">
        <v>24</v>
      </c>
      <c r="D485" s="40" t="s">
        <v>17</v>
      </c>
      <c r="E485" s="40" t="s">
        <v>625</v>
      </c>
      <c r="F485" s="40" t="s">
        <v>225</v>
      </c>
      <c r="G485" s="29"/>
      <c r="I485" s="47">
        <v>0</v>
      </c>
      <c r="K485" s="47"/>
      <c r="M485" s="47"/>
      <c r="O485" s="47"/>
      <c r="P485" s="30"/>
      <c r="Q485" s="47"/>
      <c r="R485" s="30">
        <v>168</v>
      </c>
      <c r="S485" s="47">
        <f t="shared" si="467"/>
        <v>168</v>
      </c>
      <c r="V485" s="47">
        <f>U485+S485</f>
        <v>168</v>
      </c>
      <c r="X485" s="47">
        <f>W485+V485</f>
        <v>168</v>
      </c>
      <c r="Y485" s="30">
        <v>79.5</v>
      </c>
      <c r="Z485" s="47">
        <f>Y485+X485</f>
        <v>247.5</v>
      </c>
      <c r="AA485" s="86">
        <v>247.07</v>
      </c>
      <c r="AB485" s="85">
        <f t="shared" si="450"/>
        <v>0.99826262626262618</v>
      </c>
    </row>
    <row r="486" spans="1:28" x14ac:dyDescent="0.25">
      <c r="A486" s="42" t="s">
        <v>239</v>
      </c>
      <c r="B486" s="35"/>
      <c r="C486" s="35" t="s">
        <v>24</v>
      </c>
      <c r="D486" s="35" t="s">
        <v>98</v>
      </c>
      <c r="E486" s="35"/>
      <c r="F486" s="35"/>
      <c r="G486" s="36"/>
      <c r="H486" s="56"/>
      <c r="I486" s="48">
        <v>0</v>
      </c>
      <c r="J486" s="57"/>
      <c r="K486" s="48"/>
      <c r="L486" s="66"/>
      <c r="M486" s="48">
        <f>M487+M490+M495</f>
        <v>94240.52</v>
      </c>
      <c r="N486" s="66"/>
      <c r="O486" s="48">
        <f>O487+O490+O495</f>
        <v>88125.88</v>
      </c>
      <c r="P486" s="66"/>
      <c r="Q486" s="48">
        <f>Q487+Q490+Q495</f>
        <v>88125.88</v>
      </c>
      <c r="R486" s="66"/>
      <c r="S486" s="48">
        <f>S487+S490+S495</f>
        <v>128846.42</v>
      </c>
      <c r="U486" s="66"/>
      <c r="V486" s="48">
        <f>V487+V490+V495</f>
        <v>128846.42</v>
      </c>
      <c r="W486" s="66"/>
      <c r="X486" s="48">
        <f>X487+X490+X495</f>
        <v>128846.42</v>
      </c>
      <c r="Y486" s="66"/>
      <c r="Z486" s="48">
        <f>Z487+Z490+Z495</f>
        <v>128168.48000000001</v>
      </c>
      <c r="AA486" s="48">
        <f>AA487+AA490+AA495</f>
        <v>42695.88</v>
      </c>
      <c r="AB486" s="87">
        <f t="shared" si="450"/>
        <v>0.33312308923379597</v>
      </c>
    </row>
    <row r="487" spans="1:28" ht="32.25" customHeight="1" x14ac:dyDescent="0.25">
      <c r="A487" s="19" t="s">
        <v>597</v>
      </c>
      <c r="B487" s="35"/>
      <c r="C487" s="35" t="s">
        <v>24</v>
      </c>
      <c r="D487" s="35" t="s">
        <v>98</v>
      </c>
      <c r="E487" s="35" t="s">
        <v>453</v>
      </c>
      <c r="F487" s="35"/>
      <c r="G487" s="36"/>
      <c r="H487" s="56"/>
      <c r="I487" s="48">
        <v>0</v>
      </c>
      <c r="J487" s="57"/>
      <c r="K487" s="48"/>
      <c r="L487" s="66"/>
      <c r="M487" s="48">
        <f>M488</f>
        <v>77941.440000000002</v>
      </c>
      <c r="N487" s="66"/>
      <c r="O487" s="48">
        <f>O488</f>
        <v>72855.290000000008</v>
      </c>
      <c r="P487" s="66"/>
      <c r="Q487" s="48">
        <f>Q488</f>
        <v>72855.290000000008</v>
      </c>
      <c r="R487" s="66"/>
      <c r="S487" s="48">
        <f>S488+S489</f>
        <v>114740.23000000001</v>
      </c>
      <c r="U487" s="66"/>
      <c r="V487" s="48">
        <f>V488+V489</f>
        <v>114740.23000000001</v>
      </c>
      <c r="W487" s="66"/>
      <c r="X487" s="48">
        <f>X488+X489</f>
        <v>114740.23000000001</v>
      </c>
      <c r="Y487" s="66"/>
      <c r="Z487" s="48">
        <f>Z488+Z489</f>
        <v>114740.23000000001</v>
      </c>
      <c r="AA487" s="48">
        <f>AA488+AA489</f>
        <v>38475.85</v>
      </c>
      <c r="AB487" s="87">
        <f t="shared" si="450"/>
        <v>0.33533007559772188</v>
      </c>
    </row>
    <row r="488" spans="1:28" ht="63" x14ac:dyDescent="0.25">
      <c r="A488" s="19" t="s">
        <v>598</v>
      </c>
      <c r="B488" s="40"/>
      <c r="C488" s="40" t="s">
        <v>24</v>
      </c>
      <c r="D488" s="40" t="s">
        <v>98</v>
      </c>
      <c r="E488" s="40" t="s">
        <v>453</v>
      </c>
      <c r="F488" s="40" t="s">
        <v>325</v>
      </c>
      <c r="G488" s="29"/>
      <c r="I488" s="47">
        <v>0</v>
      </c>
      <c r="K488" s="47"/>
      <c r="L488" s="30">
        <v>77941.440000000002</v>
      </c>
      <c r="M488" s="47">
        <f t="shared" ref="M488:M492" si="470">L488+K488</f>
        <v>77941.440000000002</v>
      </c>
      <c r="N488" s="30">
        <v>-5086.1499999999996</v>
      </c>
      <c r="O488" s="47">
        <f t="shared" ref="O488" si="471">N488+M488</f>
        <v>72855.290000000008</v>
      </c>
      <c r="P488" s="30"/>
      <c r="Q488" s="47">
        <f t="shared" ref="Q488" si="472">P488+O488</f>
        <v>72855.290000000008</v>
      </c>
      <c r="S488" s="47">
        <f t="shared" ref="S488:S489" si="473">R488+Q488</f>
        <v>72855.290000000008</v>
      </c>
      <c r="V488" s="47">
        <f>U488+S488</f>
        <v>72855.290000000008</v>
      </c>
      <c r="X488" s="47">
        <f>W488+V488</f>
        <v>72855.290000000008</v>
      </c>
      <c r="Z488" s="47">
        <f>Y488+X488</f>
        <v>72855.290000000008</v>
      </c>
      <c r="AA488" s="86">
        <v>24448.44</v>
      </c>
      <c r="AB488" s="85">
        <f t="shared" si="450"/>
        <v>0.33557535767135094</v>
      </c>
    </row>
    <row r="489" spans="1:28" ht="63" x14ac:dyDescent="0.25">
      <c r="A489" s="19" t="s">
        <v>599</v>
      </c>
      <c r="B489" s="40"/>
      <c r="C489" s="40" t="s">
        <v>24</v>
      </c>
      <c r="D489" s="40" t="s">
        <v>98</v>
      </c>
      <c r="E489" s="40" t="s">
        <v>453</v>
      </c>
      <c r="F489" s="40" t="s">
        <v>325</v>
      </c>
      <c r="G489" s="29"/>
      <c r="I489" s="47">
        <v>0</v>
      </c>
      <c r="K489" s="47"/>
      <c r="M489" s="47"/>
      <c r="O489" s="47"/>
      <c r="P489" s="30"/>
      <c r="Q489" s="47"/>
      <c r="R489" s="30">
        <v>41884.94</v>
      </c>
      <c r="S489" s="47">
        <f t="shared" si="473"/>
        <v>41884.94</v>
      </c>
      <c r="V489" s="47">
        <f>U489+S489</f>
        <v>41884.94</v>
      </c>
      <c r="X489" s="47">
        <f>W489+V489</f>
        <v>41884.94</v>
      </c>
      <c r="Z489" s="47">
        <f>Y489+X489</f>
        <v>41884.94</v>
      </c>
      <c r="AA489" s="86">
        <v>14027.41</v>
      </c>
      <c r="AB489" s="85">
        <f t="shared" si="450"/>
        <v>0.3349034282966622</v>
      </c>
    </row>
    <row r="490" spans="1:28" x14ac:dyDescent="0.25">
      <c r="A490" s="42" t="s">
        <v>475</v>
      </c>
      <c r="B490" s="35"/>
      <c r="C490" s="35" t="s">
        <v>24</v>
      </c>
      <c r="D490" s="35" t="s">
        <v>98</v>
      </c>
      <c r="E490" s="35" t="s">
        <v>474</v>
      </c>
      <c r="F490" s="35"/>
      <c r="G490" s="36"/>
      <c r="H490" s="56"/>
      <c r="I490" s="48">
        <v>0</v>
      </c>
      <c r="J490" s="57"/>
      <c r="K490" s="48"/>
      <c r="L490" s="66"/>
      <c r="M490" s="48">
        <f>M491+M493</f>
        <v>8100.25</v>
      </c>
      <c r="N490" s="66"/>
      <c r="O490" s="48">
        <f>O491+O493</f>
        <v>7756.43</v>
      </c>
      <c r="P490" s="66"/>
      <c r="Q490" s="48">
        <f>Q491+Q493</f>
        <v>7756.43</v>
      </c>
      <c r="R490" s="66"/>
      <c r="S490" s="48">
        <f>S491+S493</f>
        <v>7756.43</v>
      </c>
      <c r="U490" s="66"/>
      <c r="V490" s="48">
        <f>V491+V493</f>
        <v>7756.43</v>
      </c>
      <c r="W490" s="66"/>
      <c r="X490" s="48">
        <f>X491+X493</f>
        <v>7756.43</v>
      </c>
      <c r="Y490" s="66"/>
      <c r="Z490" s="48">
        <f>Z491+Z493</f>
        <v>7756.43</v>
      </c>
      <c r="AA490" s="48">
        <f>AA491+AA493</f>
        <v>2997.46</v>
      </c>
      <c r="AB490" s="87">
        <f t="shared" si="450"/>
        <v>0.3864484047429036</v>
      </c>
    </row>
    <row r="491" spans="1:28" ht="45" customHeight="1" x14ac:dyDescent="0.25">
      <c r="A491" s="19" t="s">
        <v>479</v>
      </c>
      <c r="B491" s="40"/>
      <c r="C491" s="40" t="s">
        <v>24</v>
      </c>
      <c r="D491" s="40" t="s">
        <v>98</v>
      </c>
      <c r="E491" s="40" t="s">
        <v>454</v>
      </c>
      <c r="F491" s="40"/>
      <c r="G491" s="29"/>
      <c r="I491" s="47">
        <v>0</v>
      </c>
      <c r="K491" s="47"/>
      <c r="M491" s="47">
        <f>M492</f>
        <v>5268.83</v>
      </c>
      <c r="O491" s="47">
        <f>O492</f>
        <v>4925.01</v>
      </c>
      <c r="P491" s="30"/>
      <c r="Q491" s="47">
        <f>Q492</f>
        <v>4925.01</v>
      </c>
      <c r="S491" s="47">
        <f>S492</f>
        <v>4925.01</v>
      </c>
      <c r="V491" s="47">
        <f>V492</f>
        <v>4925.01</v>
      </c>
      <c r="X491" s="47">
        <f>X492</f>
        <v>4925.01</v>
      </c>
      <c r="Z491" s="47">
        <f>Z492</f>
        <v>4925.01</v>
      </c>
      <c r="AA491" s="47">
        <f>AA492</f>
        <v>1997.46</v>
      </c>
      <c r="AB491" s="85">
        <f t="shared" si="450"/>
        <v>0.40557481101561216</v>
      </c>
    </row>
    <row r="492" spans="1:28" ht="31.5" x14ac:dyDescent="0.25">
      <c r="A492" s="19" t="s">
        <v>469</v>
      </c>
      <c r="B492" s="40"/>
      <c r="C492" s="40" t="s">
        <v>24</v>
      </c>
      <c r="D492" s="40" t="s">
        <v>98</v>
      </c>
      <c r="E492" s="40" t="s">
        <v>454</v>
      </c>
      <c r="F492" s="40" t="s">
        <v>325</v>
      </c>
      <c r="G492" s="29"/>
      <c r="I492" s="47">
        <v>0</v>
      </c>
      <c r="K492" s="47"/>
      <c r="L492" s="30">
        <v>5268.83</v>
      </c>
      <c r="M492" s="47">
        <f t="shared" si="470"/>
        <v>5268.83</v>
      </c>
      <c r="N492" s="30">
        <v>-343.82</v>
      </c>
      <c r="O492" s="47">
        <f t="shared" ref="O492" si="474">N492+M492</f>
        <v>4925.01</v>
      </c>
      <c r="P492" s="30"/>
      <c r="Q492" s="47">
        <f t="shared" ref="Q492" si="475">P492+O492</f>
        <v>4925.01</v>
      </c>
      <c r="S492" s="47">
        <f t="shared" ref="S492" si="476">R492+Q492</f>
        <v>4925.01</v>
      </c>
      <c r="V492" s="47">
        <f>U492+S492</f>
        <v>4925.01</v>
      </c>
      <c r="X492" s="47">
        <f>W492+V492</f>
        <v>4925.01</v>
      </c>
      <c r="Z492" s="47">
        <f>Y492+X492</f>
        <v>4925.01</v>
      </c>
      <c r="AA492" s="86">
        <v>1997.46</v>
      </c>
      <c r="AB492" s="85">
        <f t="shared" si="450"/>
        <v>0.40557481101561216</v>
      </c>
    </row>
    <row r="493" spans="1:28" ht="34.5" customHeight="1" x14ac:dyDescent="0.25">
      <c r="A493" s="19" t="s">
        <v>478</v>
      </c>
      <c r="B493" s="40"/>
      <c r="C493" s="40" t="s">
        <v>24</v>
      </c>
      <c r="D493" s="40" t="s">
        <v>98</v>
      </c>
      <c r="E493" s="40" t="s">
        <v>477</v>
      </c>
      <c r="F493" s="40"/>
      <c r="G493" s="29"/>
      <c r="I493" s="47">
        <v>0</v>
      </c>
      <c r="K493" s="47"/>
      <c r="M493" s="47">
        <f>M494</f>
        <v>2831.42</v>
      </c>
      <c r="O493" s="47">
        <f>O494</f>
        <v>2831.42</v>
      </c>
      <c r="P493" s="30"/>
      <c r="Q493" s="47">
        <f>Q494</f>
        <v>2831.42</v>
      </c>
      <c r="S493" s="47">
        <f>S494</f>
        <v>2831.42</v>
      </c>
      <c r="V493" s="47">
        <f>V494</f>
        <v>2831.42</v>
      </c>
      <c r="X493" s="47">
        <f>X494</f>
        <v>2831.42</v>
      </c>
      <c r="Z493" s="47">
        <f>Z494</f>
        <v>2831.42</v>
      </c>
      <c r="AA493" s="47">
        <f>AA494</f>
        <v>1000</v>
      </c>
      <c r="AB493" s="85">
        <f t="shared" si="450"/>
        <v>0.35317967662868804</v>
      </c>
    </row>
    <row r="494" spans="1:28" ht="31.5" x14ac:dyDescent="0.25">
      <c r="A494" s="19" t="s">
        <v>469</v>
      </c>
      <c r="B494" s="40"/>
      <c r="C494" s="40" t="s">
        <v>24</v>
      </c>
      <c r="D494" s="40" t="s">
        <v>98</v>
      </c>
      <c r="E494" s="40" t="s">
        <v>477</v>
      </c>
      <c r="F494" s="40" t="s">
        <v>325</v>
      </c>
      <c r="G494" s="29"/>
      <c r="I494" s="47">
        <v>0</v>
      </c>
      <c r="K494" s="47"/>
      <c r="L494" s="30">
        <v>2831.42</v>
      </c>
      <c r="M494" s="47">
        <f t="shared" ref="M494:M499" si="477">L494+K494</f>
        <v>2831.42</v>
      </c>
      <c r="O494" s="47">
        <f t="shared" ref="O494" si="478">N494+M494</f>
        <v>2831.42</v>
      </c>
      <c r="P494" s="30"/>
      <c r="Q494" s="47">
        <f t="shared" ref="Q494" si="479">P494+O494</f>
        <v>2831.42</v>
      </c>
      <c r="S494" s="47">
        <f t="shared" ref="S494" si="480">R494+Q494</f>
        <v>2831.42</v>
      </c>
      <c r="V494" s="47">
        <f>U494+S494</f>
        <v>2831.42</v>
      </c>
      <c r="X494" s="47">
        <f>W494+V494</f>
        <v>2831.42</v>
      </c>
      <c r="Z494" s="47">
        <f>Y494+X494</f>
        <v>2831.42</v>
      </c>
      <c r="AA494" s="86">
        <v>1000</v>
      </c>
      <c r="AB494" s="85">
        <f t="shared" si="450"/>
        <v>0.35317967662868804</v>
      </c>
    </row>
    <row r="495" spans="1:28" x14ac:dyDescent="0.25">
      <c r="A495" s="42" t="s">
        <v>476</v>
      </c>
      <c r="B495" s="35"/>
      <c r="C495" s="35" t="s">
        <v>24</v>
      </c>
      <c r="D495" s="35" t="s">
        <v>98</v>
      </c>
      <c r="E495" s="35" t="s">
        <v>309</v>
      </c>
      <c r="F495" s="35"/>
      <c r="G495" s="36"/>
      <c r="H495" s="56"/>
      <c r="I495" s="48">
        <v>0</v>
      </c>
      <c r="J495" s="57"/>
      <c r="K495" s="48"/>
      <c r="L495" s="66"/>
      <c r="M495" s="48">
        <f>M496+M498</f>
        <v>8198.83</v>
      </c>
      <c r="N495" s="66"/>
      <c r="O495" s="48">
        <f>O496+O498</f>
        <v>7514.16</v>
      </c>
      <c r="P495" s="66"/>
      <c r="Q495" s="48">
        <f>Q496+Q498</f>
        <v>7514.16</v>
      </c>
      <c r="R495" s="66"/>
      <c r="S495" s="48">
        <f>S496+S498</f>
        <v>6349.76</v>
      </c>
      <c r="U495" s="66"/>
      <c r="V495" s="48">
        <f>V496+V498</f>
        <v>6349.76</v>
      </c>
      <c r="W495" s="66"/>
      <c r="X495" s="48">
        <f>X496+X498</f>
        <v>6349.76</v>
      </c>
      <c r="Y495" s="66"/>
      <c r="Z495" s="48">
        <f>Z496+Z498</f>
        <v>5671.82</v>
      </c>
      <c r="AA495" s="48">
        <f>AA496+AA498</f>
        <v>1222.57</v>
      </c>
      <c r="AB495" s="87">
        <f t="shared" si="450"/>
        <v>0.21555162187798627</v>
      </c>
    </row>
    <row r="496" spans="1:28" ht="33.75" customHeight="1" x14ac:dyDescent="0.25">
      <c r="A496" s="19" t="s">
        <v>478</v>
      </c>
      <c r="B496" s="40"/>
      <c r="C496" s="40" t="s">
        <v>24</v>
      </c>
      <c r="D496" s="40" t="s">
        <v>98</v>
      </c>
      <c r="E496" s="40" t="s">
        <v>386</v>
      </c>
      <c r="F496" s="40"/>
      <c r="G496" s="29"/>
      <c r="I496" s="47">
        <v>0</v>
      </c>
      <c r="K496" s="47"/>
      <c r="M496" s="47">
        <f>M497</f>
        <v>4247.13</v>
      </c>
      <c r="O496" s="47">
        <f>O497</f>
        <v>4247.13</v>
      </c>
      <c r="P496" s="30"/>
      <c r="Q496" s="47">
        <f>Q497</f>
        <v>4247.13</v>
      </c>
      <c r="S496" s="47">
        <f>S497</f>
        <v>3082.73</v>
      </c>
      <c r="V496" s="47">
        <f>V497</f>
        <v>3082.73</v>
      </c>
      <c r="X496" s="47">
        <f>X497</f>
        <v>3082.73</v>
      </c>
      <c r="Z496" s="47">
        <f>Z497</f>
        <v>3082.73</v>
      </c>
      <c r="AA496" s="47">
        <f>AA497</f>
        <v>81.569999999999993</v>
      </c>
      <c r="AB496" s="85">
        <f t="shared" si="450"/>
        <v>2.6460312774715916E-2</v>
      </c>
    </row>
    <row r="497" spans="1:28" ht="31.5" x14ac:dyDescent="0.25">
      <c r="A497" s="19" t="s">
        <v>472</v>
      </c>
      <c r="B497" s="40"/>
      <c r="C497" s="40" t="s">
        <v>24</v>
      </c>
      <c r="D497" s="40" t="s">
        <v>98</v>
      </c>
      <c r="E497" s="40" t="s">
        <v>386</v>
      </c>
      <c r="F497" s="40" t="s">
        <v>325</v>
      </c>
      <c r="G497" s="29"/>
      <c r="I497" s="47">
        <v>0</v>
      </c>
      <c r="K497" s="47"/>
      <c r="L497" s="30">
        <v>4247.13</v>
      </c>
      <c r="M497" s="47">
        <f t="shared" si="477"/>
        <v>4247.13</v>
      </c>
      <c r="O497" s="47">
        <f t="shared" ref="O497" si="481">N497+M497</f>
        <v>4247.13</v>
      </c>
      <c r="P497" s="30"/>
      <c r="Q497" s="47">
        <f t="shared" ref="Q497" si="482">P497+O497</f>
        <v>4247.13</v>
      </c>
      <c r="R497" s="30">
        <v>-1164.4000000000001</v>
      </c>
      <c r="S497" s="47">
        <f t="shared" ref="S497" si="483">R497+Q497</f>
        <v>3082.73</v>
      </c>
      <c r="V497" s="47">
        <f>U497+S497</f>
        <v>3082.73</v>
      </c>
      <c r="X497" s="47">
        <f>W497+V497</f>
        <v>3082.73</v>
      </c>
      <c r="Z497" s="47">
        <f>Y497+X497</f>
        <v>3082.73</v>
      </c>
      <c r="AA497" s="86">
        <v>81.569999999999993</v>
      </c>
      <c r="AB497" s="85">
        <f t="shared" si="450"/>
        <v>2.6460312774715916E-2</v>
      </c>
    </row>
    <row r="498" spans="1:28" ht="45" customHeight="1" x14ac:dyDescent="0.25">
      <c r="A498" s="19" t="s">
        <v>479</v>
      </c>
      <c r="B498" s="40"/>
      <c r="C498" s="40" t="s">
        <v>24</v>
      </c>
      <c r="D498" s="40" t="s">
        <v>98</v>
      </c>
      <c r="E498" s="40" t="s">
        <v>238</v>
      </c>
      <c r="F498" s="40"/>
      <c r="G498" s="29"/>
      <c r="I498" s="47">
        <v>0</v>
      </c>
      <c r="K498" s="47"/>
      <c r="M498" s="47">
        <f>M499</f>
        <v>3951.7</v>
      </c>
      <c r="O498" s="47">
        <f>O499</f>
        <v>3267.0299999999997</v>
      </c>
      <c r="P498" s="30"/>
      <c r="Q498" s="47">
        <f>Q499</f>
        <v>3267.0299999999997</v>
      </c>
      <c r="S498" s="47">
        <f>S499</f>
        <v>3267.0299999999997</v>
      </c>
      <c r="V498" s="47">
        <f>V499</f>
        <v>3267.0299999999997</v>
      </c>
      <c r="X498" s="47">
        <f>X499</f>
        <v>3267.0299999999997</v>
      </c>
      <c r="Z498" s="47">
        <f>Z499</f>
        <v>2589.0899999999997</v>
      </c>
      <c r="AA498" s="47">
        <f>AA499</f>
        <v>1141</v>
      </c>
      <c r="AB498" s="85">
        <f t="shared" si="450"/>
        <v>0.44069537945764731</v>
      </c>
    </row>
    <row r="499" spans="1:28" ht="31.5" x14ac:dyDescent="0.25">
      <c r="A499" s="19" t="s">
        <v>470</v>
      </c>
      <c r="B499" s="40"/>
      <c r="C499" s="40" t="s">
        <v>24</v>
      </c>
      <c r="D499" s="40" t="s">
        <v>98</v>
      </c>
      <c r="E499" s="40" t="s">
        <v>238</v>
      </c>
      <c r="F499" s="40" t="s">
        <v>325</v>
      </c>
      <c r="G499" s="29"/>
      <c r="I499" s="47">
        <v>0</v>
      </c>
      <c r="K499" s="47"/>
      <c r="L499" s="30">
        <v>3951.7</v>
      </c>
      <c r="M499" s="47">
        <f t="shared" si="477"/>
        <v>3951.7</v>
      </c>
      <c r="N499" s="30">
        <f>-515.74-168.93</f>
        <v>-684.67000000000007</v>
      </c>
      <c r="O499" s="47">
        <f t="shared" ref="O499" si="484">N499+M499</f>
        <v>3267.0299999999997</v>
      </c>
      <c r="P499" s="30"/>
      <c r="Q499" s="47">
        <f t="shared" ref="Q499" si="485">P499+O499</f>
        <v>3267.0299999999997</v>
      </c>
      <c r="S499" s="47">
        <f t="shared" ref="S499" si="486">R499+Q499</f>
        <v>3267.0299999999997</v>
      </c>
      <c r="V499" s="47">
        <f>U499+S499</f>
        <v>3267.0299999999997</v>
      </c>
      <c r="X499" s="47">
        <f>W499+V499</f>
        <v>3267.0299999999997</v>
      </c>
      <c r="Y499" s="30">
        <v>-677.94</v>
      </c>
      <c r="Z499" s="47">
        <f>Y499+X499</f>
        <v>2589.0899999999997</v>
      </c>
      <c r="AA499" s="86">
        <v>1141</v>
      </c>
      <c r="AB499" s="85">
        <f t="shared" si="450"/>
        <v>0.44069537945764731</v>
      </c>
    </row>
    <row r="500" spans="1:28" x14ac:dyDescent="0.25">
      <c r="A500" s="61" t="s">
        <v>333</v>
      </c>
      <c r="B500" s="35"/>
      <c r="C500" s="35" t="s">
        <v>24</v>
      </c>
      <c r="D500" s="35" t="s">
        <v>63</v>
      </c>
      <c r="E500" s="35"/>
      <c r="F500" s="35"/>
      <c r="G500" s="36">
        <f>G506</f>
        <v>2405.6999999999998</v>
      </c>
      <c r="H500" s="56"/>
      <c r="I500" s="48">
        <f>I506</f>
        <v>4811.3</v>
      </c>
      <c r="J500" s="57"/>
      <c r="K500" s="48">
        <f>K506</f>
        <v>4811.3</v>
      </c>
      <c r="L500" s="66"/>
      <c r="M500" s="48">
        <f>M506</f>
        <v>4811.3</v>
      </c>
      <c r="N500" s="66"/>
      <c r="O500" s="48">
        <f>O506+O501</f>
        <v>44297.970000000008</v>
      </c>
      <c r="P500" s="66"/>
      <c r="Q500" s="48">
        <f>Q506+Q501</f>
        <v>44297.970000000008</v>
      </c>
      <c r="R500" s="66"/>
      <c r="S500" s="48">
        <f>S506+S501</f>
        <v>44200.87000000001</v>
      </c>
      <c r="U500" s="66"/>
      <c r="V500" s="48">
        <f>V506+V501</f>
        <v>44200.87000000001</v>
      </c>
      <c r="W500" s="66"/>
      <c r="X500" s="48">
        <f>X506+X501</f>
        <v>34062.36</v>
      </c>
      <c r="Y500" s="66"/>
      <c r="Z500" s="48">
        <f>Z506+Z501</f>
        <v>33962.36</v>
      </c>
      <c r="AA500" s="48">
        <f>AA506+AA501</f>
        <v>26064.34</v>
      </c>
      <c r="AB500" s="87">
        <f t="shared" si="450"/>
        <v>0.767447845202748</v>
      </c>
    </row>
    <row r="501" spans="1:28" ht="29.25" customHeight="1" x14ac:dyDescent="0.25">
      <c r="A501" s="45" t="s">
        <v>334</v>
      </c>
      <c r="B501" s="35"/>
      <c r="C501" s="40" t="s">
        <v>24</v>
      </c>
      <c r="D501" s="40" t="s">
        <v>63</v>
      </c>
      <c r="E501" s="40" t="s">
        <v>547</v>
      </c>
      <c r="F501" s="35"/>
      <c r="G501" s="36"/>
      <c r="H501" s="56"/>
      <c r="I501" s="47">
        <v>0</v>
      </c>
      <c r="J501" s="57"/>
      <c r="K501" s="48"/>
      <c r="L501" s="66"/>
      <c r="M501" s="48"/>
      <c r="N501" s="66"/>
      <c r="O501" s="47">
        <f>O502+O503+O504+O505</f>
        <v>39486.670000000006</v>
      </c>
      <c r="P501" s="66"/>
      <c r="Q501" s="47">
        <f>Q502+Q503+Q504+Q505</f>
        <v>39486.670000000006</v>
      </c>
      <c r="R501" s="66"/>
      <c r="S501" s="47">
        <f>S502+S503+S504+S505</f>
        <v>39486.670000000006</v>
      </c>
      <c r="U501" s="66"/>
      <c r="V501" s="47">
        <f>V502+V503+V504+V505</f>
        <v>39486.670000000006</v>
      </c>
      <c r="W501" s="66"/>
      <c r="X501" s="47">
        <f>X502+X503+X504+X505</f>
        <v>29391.11</v>
      </c>
      <c r="Y501" s="66"/>
      <c r="Z501" s="47">
        <f>Z502+Z503+Z504+Z505</f>
        <v>29391.11</v>
      </c>
      <c r="AA501" s="47">
        <f>AA502+AA503+AA504+AA505</f>
        <v>21888.34</v>
      </c>
      <c r="AB501" s="85">
        <f t="shared" si="450"/>
        <v>0.74472655166817447</v>
      </c>
    </row>
    <row r="502" spans="1:28" ht="46.5" customHeight="1" x14ac:dyDescent="0.25">
      <c r="A502" s="45" t="s">
        <v>550</v>
      </c>
      <c r="B502" s="35"/>
      <c r="C502" s="40" t="s">
        <v>24</v>
      </c>
      <c r="D502" s="40" t="s">
        <v>63</v>
      </c>
      <c r="E502" s="40" t="s">
        <v>547</v>
      </c>
      <c r="F502" s="40" t="s">
        <v>325</v>
      </c>
      <c r="G502" s="36"/>
      <c r="H502" s="56"/>
      <c r="I502" s="47">
        <v>0</v>
      </c>
      <c r="J502" s="57"/>
      <c r="K502" s="48"/>
      <c r="L502" s="66"/>
      <c r="M502" s="48"/>
      <c r="N502" s="51">
        <v>31662.05</v>
      </c>
      <c r="O502" s="47">
        <f>M502+N502</f>
        <v>31662.05</v>
      </c>
      <c r="P502" s="51"/>
      <c r="Q502" s="47">
        <f>O502+P502</f>
        <v>31662.05</v>
      </c>
      <c r="R502" s="51"/>
      <c r="S502" s="47">
        <f>Q502+R502</f>
        <v>31662.05</v>
      </c>
      <c r="U502" s="51"/>
      <c r="V502" s="47">
        <f>S502+U502</f>
        <v>31662.05</v>
      </c>
      <c r="W502" s="51">
        <v>-5072.33</v>
      </c>
      <c r="X502" s="47">
        <f>V502+W502</f>
        <v>26589.72</v>
      </c>
      <c r="Y502" s="51"/>
      <c r="Z502" s="47">
        <f>X502+Y502</f>
        <v>26589.72</v>
      </c>
      <c r="AA502" s="86">
        <v>19104.34</v>
      </c>
      <c r="AB502" s="85">
        <f t="shared" si="450"/>
        <v>0.71848594118328435</v>
      </c>
    </row>
    <row r="503" spans="1:28" ht="60" customHeight="1" x14ac:dyDescent="0.25">
      <c r="A503" s="45" t="s">
        <v>551</v>
      </c>
      <c r="B503" s="35"/>
      <c r="C503" s="40" t="s">
        <v>24</v>
      </c>
      <c r="D503" s="40" t="s">
        <v>63</v>
      </c>
      <c r="E503" s="40" t="s">
        <v>547</v>
      </c>
      <c r="F503" s="40" t="s">
        <v>325</v>
      </c>
      <c r="G503" s="36"/>
      <c r="H503" s="56"/>
      <c r="I503" s="47">
        <v>0</v>
      </c>
      <c r="J503" s="57"/>
      <c r="K503" s="48"/>
      <c r="L503" s="66"/>
      <c r="M503" s="48"/>
      <c r="N503" s="30">
        <v>4371.1000000000004</v>
      </c>
      <c r="O503" s="47">
        <f>M503+N503</f>
        <v>4371.1000000000004</v>
      </c>
      <c r="P503" s="30"/>
      <c r="Q503" s="47">
        <f>O503+P503</f>
        <v>4371.1000000000004</v>
      </c>
      <c r="S503" s="47">
        <f>Q503+R503</f>
        <v>4371.1000000000004</v>
      </c>
      <c r="V503" s="47">
        <f>S503+U503</f>
        <v>4371.1000000000004</v>
      </c>
      <c r="W503" s="30">
        <v>-4371.1000000000004</v>
      </c>
      <c r="X503" s="47">
        <f>V503+W503</f>
        <v>0</v>
      </c>
      <c r="Z503" s="47">
        <f>X503+Y503</f>
        <v>0</v>
      </c>
      <c r="AA503" s="86">
        <v>0</v>
      </c>
      <c r="AB503" s="85">
        <v>0</v>
      </c>
    </row>
    <row r="504" spans="1:28" ht="62.25" customHeight="1" x14ac:dyDescent="0.25">
      <c r="A504" s="45" t="s">
        <v>552</v>
      </c>
      <c r="B504" s="35"/>
      <c r="C504" s="40" t="s">
        <v>24</v>
      </c>
      <c r="D504" s="40" t="s">
        <v>63</v>
      </c>
      <c r="E504" s="40" t="s">
        <v>547</v>
      </c>
      <c r="F504" s="40" t="s">
        <v>325</v>
      </c>
      <c r="G504" s="36"/>
      <c r="H504" s="56"/>
      <c r="I504" s="47">
        <v>0</v>
      </c>
      <c r="J504" s="57"/>
      <c r="K504" s="48"/>
      <c r="L504" s="66"/>
      <c r="M504" s="48"/>
      <c r="N504" s="30">
        <v>1629.48</v>
      </c>
      <c r="O504" s="47">
        <f>M504+N504</f>
        <v>1629.48</v>
      </c>
      <c r="P504" s="30"/>
      <c r="Q504" s="47">
        <f>O504+P504</f>
        <v>1629.48</v>
      </c>
      <c r="S504" s="47">
        <f>Q504+R504</f>
        <v>1629.48</v>
      </c>
      <c r="V504" s="47">
        <f>S504+U504</f>
        <v>1629.48</v>
      </c>
      <c r="W504" s="30">
        <v>-263.91000000000003</v>
      </c>
      <c r="X504" s="47">
        <f>V504+W504</f>
        <v>1365.57</v>
      </c>
      <c r="Z504" s="47">
        <f>X504+Y504</f>
        <v>1365.57</v>
      </c>
      <c r="AA504" s="86">
        <v>1352.13</v>
      </c>
      <c r="AB504" s="85">
        <f t="shared" si="450"/>
        <v>0.99015795601836609</v>
      </c>
    </row>
    <row r="505" spans="1:28" ht="80.25" customHeight="1" x14ac:dyDescent="0.25">
      <c r="A505" s="45" t="s">
        <v>553</v>
      </c>
      <c r="B505" s="35"/>
      <c r="C505" s="40" t="s">
        <v>24</v>
      </c>
      <c r="D505" s="40" t="s">
        <v>63</v>
      </c>
      <c r="E505" s="40" t="s">
        <v>547</v>
      </c>
      <c r="F505" s="40" t="s">
        <v>325</v>
      </c>
      <c r="G505" s="36"/>
      <c r="H505" s="56"/>
      <c r="I505" s="47">
        <v>0</v>
      </c>
      <c r="J505" s="57"/>
      <c r="K505" s="48"/>
      <c r="L505" s="66"/>
      <c r="M505" s="48"/>
      <c r="N505" s="30">
        <v>1824.04</v>
      </c>
      <c r="O505" s="47">
        <f>M505+N505</f>
        <v>1824.04</v>
      </c>
      <c r="P505" s="30"/>
      <c r="Q505" s="47">
        <f>O505+P505</f>
        <v>1824.04</v>
      </c>
      <c r="S505" s="47">
        <f>Q505+R505</f>
        <v>1824.04</v>
      </c>
      <c r="V505" s="47">
        <f>S505+U505</f>
        <v>1824.04</v>
      </c>
      <c r="W505" s="30">
        <v>-388.22</v>
      </c>
      <c r="X505" s="47">
        <f>V505+W505</f>
        <v>1435.82</v>
      </c>
      <c r="Z505" s="47">
        <f>X505+Y505</f>
        <v>1435.82</v>
      </c>
      <c r="AA505" s="86">
        <v>1431.87</v>
      </c>
      <c r="AB505" s="85">
        <f t="shared" si="450"/>
        <v>0.99724895878313435</v>
      </c>
    </row>
    <row r="506" spans="1:28" ht="31.5" customHeight="1" x14ac:dyDescent="0.25">
      <c r="A506" s="45" t="s">
        <v>334</v>
      </c>
      <c r="B506" s="40"/>
      <c r="C506" s="40" t="s">
        <v>24</v>
      </c>
      <c r="D506" s="40" t="s">
        <v>63</v>
      </c>
      <c r="E506" s="40" t="s">
        <v>335</v>
      </c>
      <c r="F506" s="40"/>
      <c r="G506" s="29">
        <f>G507+G508</f>
        <v>2405.6999999999998</v>
      </c>
      <c r="I506" s="47">
        <f>I507+I508</f>
        <v>4811.3</v>
      </c>
      <c r="K506" s="47">
        <f>K507+K508</f>
        <v>4811.3</v>
      </c>
      <c r="M506" s="47">
        <f>M507+M508</f>
        <v>4811.3</v>
      </c>
      <c r="O506" s="47">
        <f>O507+O508</f>
        <v>4811.3</v>
      </c>
      <c r="P506" s="30"/>
      <c r="Q506" s="47">
        <f>Q507+Q508</f>
        <v>4811.3</v>
      </c>
      <c r="S506" s="47">
        <f>S507+S508</f>
        <v>4714.2000000000007</v>
      </c>
      <c r="V506" s="47">
        <f>V507+V508</f>
        <v>4714.2000000000007</v>
      </c>
      <c r="X506" s="47">
        <f>X507+X508</f>
        <v>4671.25</v>
      </c>
      <c r="Z506" s="47">
        <f>Z507+Z508</f>
        <v>4571.25</v>
      </c>
      <c r="AA506" s="47">
        <f>AA507+AA508</f>
        <v>4176</v>
      </c>
      <c r="AB506" s="85">
        <f t="shared" si="450"/>
        <v>0.91353568498769488</v>
      </c>
    </row>
    <row r="507" spans="1:28" ht="27.75" customHeight="1" x14ac:dyDescent="0.25">
      <c r="A507" s="45" t="s">
        <v>548</v>
      </c>
      <c r="B507" s="40"/>
      <c r="C507" s="40" t="s">
        <v>24</v>
      </c>
      <c r="D507" s="40" t="s">
        <v>63</v>
      </c>
      <c r="E507" s="40" t="s">
        <v>335</v>
      </c>
      <c r="F507" s="40" t="s">
        <v>325</v>
      </c>
      <c r="G507" s="29">
        <v>1222.2</v>
      </c>
      <c r="H507" s="52">
        <v>1222.0999999999999</v>
      </c>
      <c r="I507" s="47">
        <f t="shared" ref="I507:K508" si="487">G507+H507</f>
        <v>2444.3000000000002</v>
      </c>
      <c r="K507" s="47">
        <f t="shared" si="487"/>
        <v>2444.3000000000002</v>
      </c>
      <c r="M507" s="47">
        <f t="shared" ref="M507:M508" si="488">K507+L507</f>
        <v>2444.3000000000002</v>
      </c>
      <c r="O507" s="47">
        <f t="shared" ref="O507:O508" si="489">M507+N507</f>
        <v>2444.3000000000002</v>
      </c>
      <c r="P507" s="30"/>
      <c r="Q507" s="47">
        <f t="shared" ref="Q507:Q508" si="490">O507+P507</f>
        <v>2444.3000000000002</v>
      </c>
      <c r="R507" s="30">
        <v>-97.1</v>
      </c>
      <c r="S507" s="47">
        <f t="shared" ref="S507:S508" si="491">Q507+R507</f>
        <v>2347.2000000000003</v>
      </c>
      <c r="V507" s="47">
        <f>S507+U507</f>
        <v>2347.2000000000003</v>
      </c>
      <c r="W507" s="30">
        <v>-42.95</v>
      </c>
      <c r="X507" s="47">
        <f>V507+W507</f>
        <v>2304.2500000000005</v>
      </c>
      <c r="Z507" s="47">
        <f>X507+Y507</f>
        <v>2304.2500000000005</v>
      </c>
      <c r="AA507" s="86">
        <f>2028.2</f>
        <v>2028.2</v>
      </c>
      <c r="AB507" s="85">
        <f t="shared" si="450"/>
        <v>0.88019963111641519</v>
      </c>
    </row>
    <row r="508" spans="1:28" ht="29.25" customHeight="1" x14ac:dyDescent="0.25">
      <c r="A508" s="45" t="s">
        <v>549</v>
      </c>
      <c r="B508" s="40"/>
      <c r="C508" s="40" t="s">
        <v>24</v>
      </c>
      <c r="D508" s="40" t="s">
        <v>63</v>
      </c>
      <c r="E508" s="40" t="s">
        <v>335</v>
      </c>
      <c r="F508" s="40" t="s">
        <v>325</v>
      </c>
      <c r="G508" s="29">
        <v>1183.5</v>
      </c>
      <c r="H508" s="52">
        <v>1183.5</v>
      </c>
      <c r="I508" s="47">
        <f t="shared" si="487"/>
        <v>2367</v>
      </c>
      <c r="K508" s="47">
        <f t="shared" si="487"/>
        <v>2367</v>
      </c>
      <c r="M508" s="47">
        <f t="shared" si="488"/>
        <v>2367</v>
      </c>
      <c r="O508" s="47">
        <f t="shared" si="489"/>
        <v>2367</v>
      </c>
      <c r="P508" s="30"/>
      <c r="Q508" s="47">
        <f t="shared" si="490"/>
        <v>2367</v>
      </c>
      <c r="S508" s="47">
        <f t="shared" si="491"/>
        <v>2367</v>
      </c>
      <c r="V508" s="47">
        <f>S508+U508</f>
        <v>2367</v>
      </c>
      <c r="X508" s="47">
        <f>V508+W508</f>
        <v>2367</v>
      </c>
      <c r="Y508" s="30">
        <v>-100</v>
      </c>
      <c r="Z508" s="47">
        <f>X508+Y508</f>
        <v>2267</v>
      </c>
      <c r="AA508" s="86">
        <v>2147.8000000000002</v>
      </c>
      <c r="AB508" s="85">
        <f t="shared" si="450"/>
        <v>0.94741949713277462</v>
      </c>
    </row>
    <row r="509" spans="1:28" x14ac:dyDescent="0.25">
      <c r="A509" s="34" t="s">
        <v>172</v>
      </c>
      <c r="B509" s="35"/>
      <c r="C509" s="35" t="s">
        <v>24</v>
      </c>
      <c r="D509" s="35" t="s">
        <v>27</v>
      </c>
      <c r="E509" s="35"/>
      <c r="F509" s="35"/>
      <c r="G509" s="36">
        <f>G510+G518</f>
        <v>4413.6000000000004</v>
      </c>
      <c r="H509" s="56"/>
      <c r="I509" s="48">
        <f>I510+I518</f>
        <v>5777.01</v>
      </c>
      <c r="J509" s="57"/>
      <c r="K509" s="48">
        <f>K510+K518</f>
        <v>5907.01</v>
      </c>
      <c r="L509" s="66"/>
      <c r="M509" s="48">
        <f>M510+M518</f>
        <v>3622.6000000000004</v>
      </c>
      <c r="N509" s="66"/>
      <c r="O509" s="48">
        <f>O510+O518</f>
        <v>3622.6000000000004</v>
      </c>
      <c r="P509" s="66"/>
      <c r="Q509" s="48">
        <f>Q510+Q518</f>
        <v>3622.6000000000004</v>
      </c>
      <c r="R509" s="66"/>
      <c r="S509" s="48">
        <f>S510+S518</f>
        <v>3932.6000000000004</v>
      </c>
      <c r="U509" s="66"/>
      <c r="V509" s="48">
        <f>V510+V518</f>
        <v>3932.6000000000004</v>
      </c>
      <c r="W509" s="66"/>
      <c r="X509" s="48">
        <f>X510+X518</f>
        <v>3932.6000000000004</v>
      </c>
      <c r="Y509" s="66"/>
      <c r="Z509" s="48">
        <f>Z510+Z518</f>
        <v>3932.6000000000004</v>
      </c>
      <c r="AA509" s="48">
        <f>AA510+AA518</f>
        <v>3926.9500000000003</v>
      </c>
      <c r="AB509" s="85">
        <f t="shared" si="450"/>
        <v>0.99856329146111988</v>
      </c>
    </row>
    <row r="510" spans="1:28" ht="15.75" customHeight="1" x14ac:dyDescent="0.25">
      <c r="A510" s="19" t="s">
        <v>36</v>
      </c>
      <c r="B510" s="40"/>
      <c r="C510" s="40" t="s">
        <v>24</v>
      </c>
      <c r="D510" s="40" t="s">
        <v>27</v>
      </c>
      <c r="E510" s="40" t="s">
        <v>321</v>
      </c>
      <c r="F510" s="40"/>
      <c r="G510" s="29">
        <f>G511</f>
        <v>3271.4000000000005</v>
      </c>
      <c r="I510" s="47">
        <f>I511</f>
        <v>3492.6000000000004</v>
      </c>
      <c r="K510" s="47">
        <f>K511</f>
        <v>3622.6000000000004</v>
      </c>
      <c r="M510" s="47">
        <f>M511</f>
        <v>3622.6000000000004</v>
      </c>
      <c r="O510" s="47">
        <f>O511</f>
        <v>3622.6000000000004</v>
      </c>
      <c r="P510" s="30"/>
      <c r="Q510" s="47">
        <f>Q511</f>
        <v>3622.6000000000004</v>
      </c>
      <c r="S510" s="47">
        <f>S511</f>
        <v>3932.6000000000004</v>
      </c>
      <c r="V510" s="47">
        <f>V511</f>
        <v>3932.6000000000004</v>
      </c>
      <c r="X510" s="47">
        <f>X511</f>
        <v>3932.6000000000004</v>
      </c>
      <c r="Z510" s="47">
        <f>Z511</f>
        <v>3932.6000000000004</v>
      </c>
      <c r="AA510" s="47">
        <f>AA511</f>
        <v>3926.9500000000003</v>
      </c>
      <c r="AB510" s="85">
        <f t="shared" si="450"/>
        <v>0.99856329146111988</v>
      </c>
    </row>
    <row r="511" spans="1:28" x14ac:dyDescent="0.25">
      <c r="A511" s="41" t="s">
        <v>52</v>
      </c>
      <c r="B511" s="40"/>
      <c r="C511" s="40" t="s">
        <v>24</v>
      </c>
      <c r="D511" s="40" t="s">
        <v>27</v>
      </c>
      <c r="E511" s="40" t="s">
        <v>322</v>
      </c>
      <c r="F511" s="40"/>
      <c r="G511" s="29">
        <f>SUM(G512:G517)</f>
        <v>3271.4000000000005</v>
      </c>
      <c r="I511" s="47">
        <f>SUM(I512:I517)</f>
        <v>3492.6000000000004</v>
      </c>
      <c r="K511" s="47">
        <f>SUM(K512:K517)</f>
        <v>3622.6000000000004</v>
      </c>
      <c r="M511" s="47">
        <f>SUM(M512:M517)</f>
        <v>3622.6000000000004</v>
      </c>
      <c r="O511" s="47">
        <f>SUM(O512:O517)</f>
        <v>3622.6000000000004</v>
      </c>
      <c r="P511" s="30"/>
      <c r="Q511" s="47">
        <f>SUM(Q512:Q517)</f>
        <v>3622.6000000000004</v>
      </c>
      <c r="S511" s="47">
        <f>SUM(S512:S517)</f>
        <v>3932.6000000000004</v>
      </c>
      <c r="V511" s="47">
        <f>SUM(V512:V517)</f>
        <v>3932.6000000000004</v>
      </c>
      <c r="X511" s="47">
        <f>SUM(X512:X517)</f>
        <v>3932.6000000000004</v>
      </c>
      <c r="Z511" s="47">
        <f>SUM(Z512:Z517)</f>
        <v>3932.6000000000004</v>
      </c>
      <c r="AA511" s="47">
        <f>SUM(AA512:AA517)</f>
        <v>3926.9500000000003</v>
      </c>
      <c r="AB511" s="85">
        <f t="shared" si="450"/>
        <v>0.99856329146111988</v>
      </c>
    </row>
    <row r="512" spans="1:28" x14ac:dyDescent="0.25">
      <c r="A512" s="19" t="s">
        <v>217</v>
      </c>
      <c r="B512" s="40"/>
      <c r="C512" s="40" t="s">
        <v>24</v>
      </c>
      <c r="D512" s="40" t="s">
        <v>27</v>
      </c>
      <c r="E512" s="40" t="s">
        <v>322</v>
      </c>
      <c r="F512" s="40" t="s">
        <v>218</v>
      </c>
      <c r="G512" s="29">
        <f>1988.4+680</f>
        <v>2668.4</v>
      </c>
      <c r="H512" s="52">
        <v>221.2</v>
      </c>
      <c r="I512" s="47">
        <f t="shared" ref="I512:K517" si="492">G512+H512</f>
        <v>2889.6</v>
      </c>
      <c r="K512" s="47">
        <f t="shared" si="492"/>
        <v>2889.6</v>
      </c>
      <c r="M512" s="47">
        <f t="shared" ref="M512:M517" si="493">K512+L512</f>
        <v>2889.6</v>
      </c>
      <c r="O512" s="47">
        <f t="shared" ref="O512:O517" si="494">M512+N512</f>
        <v>2889.6</v>
      </c>
      <c r="P512" s="30"/>
      <c r="Q512" s="47">
        <f t="shared" ref="Q512:Q517" si="495">O512+P512</f>
        <v>2889.6</v>
      </c>
      <c r="R512" s="30">
        <v>184</v>
      </c>
      <c r="S512" s="47">
        <f t="shared" ref="S512:S517" si="496">Q512+R512</f>
        <v>3073.6</v>
      </c>
      <c r="T512" s="70">
        <f>142.8+41.2</f>
        <v>184</v>
      </c>
      <c r="V512" s="47">
        <f t="shared" ref="V512:V517" si="497">S512+U512</f>
        <v>3073.6</v>
      </c>
      <c r="X512" s="47">
        <f t="shared" ref="X512:X517" si="498">V512+W512</f>
        <v>3073.6</v>
      </c>
      <c r="Z512" s="47">
        <f t="shared" ref="Z512:Z517" si="499">X512+Y512</f>
        <v>3073.6</v>
      </c>
      <c r="AA512" s="86">
        <v>3071.61</v>
      </c>
      <c r="AB512" s="85">
        <f t="shared" si="450"/>
        <v>0.99935255075481522</v>
      </c>
    </row>
    <row r="513" spans="1:29" x14ac:dyDescent="0.25">
      <c r="A513" s="43" t="s">
        <v>324</v>
      </c>
      <c r="B513" s="40"/>
      <c r="C513" s="40" t="s">
        <v>24</v>
      </c>
      <c r="D513" s="40" t="s">
        <v>27</v>
      </c>
      <c r="E513" s="40" t="s">
        <v>322</v>
      </c>
      <c r="F513" s="40" t="s">
        <v>220</v>
      </c>
      <c r="G513" s="29"/>
      <c r="I513" s="47"/>
      <c r="J513" s="28">
        <v>115.8</v>
      </c>
      <c r="K513" s="47">
        <f t="shared" si="492"/>
        <v>115.8</v>
      </c>
      <c r="M513" s="47">
        <f t="shared" si="493"/>
        <v>115.8</v>
      </c>
      <c r="O513" s="47">
        <f t="shared" si="494"/>
        <v>115.8</v>
      </c>
      <c r="P513" s="30"/>
      <c r="Q513" s="47">
        <f t="shared" si="495"/>
        <v>115.8</v>
      </c>
      <c r="S513" s="47">
        <f t="shared" si="496"/>
        <v>115.8</v>
      </c>
      <c r="V513" s="47">
        <f t="shared" si="497"/>
        <v>115.8</v>
      </c>
      <c r="X513" s="47">
        <f t="shared" si="498"/>
        <v>115.8</v>
      </c>
      <c r="Z513" s="47">
        <f t="shared" si="499"/>
        <v>115.8</v>
      </c>
      <c r="AA513" s="86">
        <v>115.45</v>
      </c>
      <c r="AB513" s="85">
        <f t="shared" si="450"/>
        <v>0.99697754749568224</v>
      </c>
    </row>
    <row r="514" spans="1:29" ht="15.75" customHeight="1" x14ac:dyDescent="0.25">
      <c r="A514" s="19" t="s">
        <v>223</v>
      </c>
      <c r="B514" s="40"/>
      <c r="C514" s="40" t="s">
        <v>24</v>
      </c>
      <c r="D514" s="40" t="s">
        <v>27</v>
      </c>
      <c r="E514" s="40" t="s">
        <v>322</v>
      </c>
      <c r="F514" s="40" t="s">
        <v>224</v>
      </c>
      <c r="G514" s="29">
        <v>23.3</v>
      </c>
      <c r="I514" s="47">
        <f t="shared" si="492"/>
        <v>23.3</v>
      </c>
      <c r="K514" s="47">
        <f t="shared" si="492"/>
        <v>23.3</v>
      </c>
      <c r="L514" s="30">
        <v>-17</v>
      </c>
      <c r="M514" s="47">
        <f t="shared" si="493"/>
        <v>6.3000000000000007</v>
      </c>
      <c r="N514" s="30">
        <v>17</v>
      </c>
      <c r="O514" s="47">
        <f t="shared" si="494"/>
        <v>23.3</v>
      </c>
      <c r="P514" s="30"/>
      <c r="Q514" s="47">
        <f t="shared" si="495"/>
        <v>23.3</v>
      </c>
      <c r="S514" s="47">
        <f t="shared" si="496"/>
        <v>23.3</v>
      </c>
      <c r="V514" s="47">
        <f t="shared" si="497"/>
        <v>23.3</v>
      </c>
      <c r="X514" s="47">
        <f t="shared" si="498"/>
        <v>23.3</v>
      </c>
      <c r="Z514" s="47">
        <f t="shared" si="499"/>
        <v>23.3</v>
      </c>
      <c r="AA514" s="86">
        <v>21.61</v>
      </c>
      <c r="AB514" s="85">
        <f t="shared" si="450"/>
        <v>0.92746781115879828</v>
      </c>
    </row>
    <row r="515" spans="1:29" x14ac:dyDescent="0.25">
      <c r="A515" s="43" t="s">
        <v>244</v>
      </c>
      <c r="B515" s="40"/>
      <c r="C515" s="40" t="s">
        <v>24</v>
      </c>
      <c r="D515" s="40" t="s">
        <v>27</v>
      </c>
      <c r="E515" s="40" t="s">
        <v>322</v>
      </c>
      <c r="F515" s="40" t="s">
        <v>225</v>
      </c>
      <c r="G515" s="29">
        <v>577.70000000000005</v>
      </c>
      <c r="I515" s="47">
        <f t="shared" si="492"/>
        <v>577.70000000000005</v>
      </c>
      <c r="J515" s="28">
        <f>-115.8+130</f>
        <v>14.200000000000003</v>
      </c>
      <c r="K515" s="47">
        <f t="shared" si="492"/>
        <v>591.90000000000009</v>
      </c>
      <c r="L515" s="30">
        <v>17</v>
      </c>
      <c r="M515" s="47">
        <f t="shared" si="493"/>
        <v>608.90000000000009</v>
      </c>
      <c r="N515" s="30">
        <v>-17</v>
      </c>
      <c r="O515" s="47">
        <f t="shared" si="494"/>
        <v>591.90000000000009</v>
      </c>
      <c r="P515" s="30"/>
      <c r="Q515" s="47">
        <f t="shared" si="495"/>
        <v>591.90000000000009</v>
      </c>
      <c r="R515" s="30">
        <v>126</v>
      </c>
      <c r="S515" s="47">
        <f t="shared" si="496"/>
        <v>717.90000000000009</v>
      </c>
      <c r="T515" s="70">
        <f>54+20+52</f>
        <v>126</v>
      </c>
      <c r="V515" s="47">
        <f t="shared" si="497"/>
        <v>717.90000000000009</v>
      </c>
      <c r="X515" s="47">
        <f t="shared" si="498"/>
        <v>717.90000000000009</v>
      </c>
      <c r="Z515" s="47">
        <f t="shared" si="499"/>
        <v>717.90000000000009</v>
      </c>
      <c r="AA515" s="86">
        <v>716.33</v>
      </c>
      <c r="AB515" s="85">
        <f t="shared" si="450"/>
        <v>0.99781306588661367</v>
      </c>
    </row>
    <row r="516" spans="1:29" x14ac:dyDescent="0.25">
      <c r="A516" s="43" t="s">
        <v>347</v>
      </c>
      <c r="B516" s="40"/>
      <c r="C516" s="40" t="s">
        <v>24</v>
      </c>
      <c r="D516" s="40" t="s">
        <v>27</v>
      </c>
      <c r="E516" s="40" t="s">
        <v>322</v>
      </c>
      <c r="F516" s="40" t="s">
        <v>346</v>
      </c>
      <c r="G516" s="29"/>
      <c r="I516" s="47"/>
      <c r="K516" s="47"/>
      <c r="M516" s="47"/>
      <c r="N516" s="30">
        <v>0.36</v>
      </c>
      <c r="O516" s="47">
        <f t="shared" si="494"/>
        <v>0.36</v>
      </c>
      <c r="P516" s="30"/>
      <c r="Q516" s="47">
        <f t="shared" si="495"/>
        <v>0.36</v>
      </c>
      <c r="S516" s="47">
        <f t="shared" si="496"/>
        <v>0.36</v>
      </c>
      <c r="V516" s="47">
        <f t="shared" si="497"/>
        <v>0.36</v>
      </c>
      <c r="X516" s="47">
        <f t="shared" si="498"/>
        <v>0.36</v>
      </c>
      <c r="Y516" s="30">
        <v>0.19</v>
      </c>
      <c r="Z516" s="47">
        <f t="shared" si="499"/>
        <v>0.55000000000000004</v>
      </c>
      <c r="AA516" s="86">
        <v>0.53</v>
      </c>
      <c r="AB516" s="85">
        <f t="shared" si="450"/>
        <v>0.96363636363636362</v>
      </c>
    </row>
    <row r="517" spans="1:29" x14ac:dyDescent="0.25">
      <c r="A517" s="41" t="s">
        <v>324</v>
      </c>
      <c r="B517" s="40"/>
      <c r="C517" s="40" t="s">
        <v>24</v>
      </c>
      <c r="D517" s="40" t="s">
        <v>27</v>
      </c>
      <c r="E517" s="40" t="s">
        <v>322</v>
      </c>
      <c r="F517" s="40" t="s">
        <v>323</v>
      </c>
      <c r="G517" s="29">
        <v>2</v>
      </c>
      <c r="I517" s="47">
        <f t="shared" si="492"/>
        <v>2</v>
      </c>
      <c r="K517" s="47">
        <f t="shared" si="492"/>
        <v>2</v>
      </c>
      <c r="M517" s="47">
        <f t="shared" si="493"/>
        <v>2</v>
      </c>
      <c r="N517" s="30">
        <v>-0.36</v>
      </c>
      <c r="O517" s="47">
        <f t="shared" si="494"/>
        <v>1.6400000000000001</v>
      </c>
      <c r="P517" s="30"/>
      <c r="Q517" s="47">
        <f t="shared" si="495"/>
        <v>1.6400000000000001</v>
      </c>
      <c r="S517" s="47">
        <f t="shared" si="496"/>
        <v>1.6400000000000001</v>
      </c>
      <c r="V517" s="47">
        <f t="shared" si="497"/>
        <v>1.6400000000000001</v>
      </c>
      <c r="X517" s="47">
        <f t="shared" si="498"/>
        <v>1.6400000000000001</v>
      </c>
      <c r="Y517" s="30">
        <v>-0.19</v>
      </c>
      <c r="Z517" s="47">
        <f t="shared" si="499"/>
        <v>1.4500000000000002</v>
      </c>
      <c r="AA517" s="86">
        <v>1.42</v>
      </c>
      <c r="AB517" s="85">
        <f t="shared" si="450"/>
        <v>0.97931034482758605</v>
      </c>
    </row>
    <row r="518" spans="1:29" ht="31.5" x14ac:dyDescent="0.25">
      <c r="A518" s="19" t="s">
        <v>326</v>
      </c>
      <c r="B518" s="40"/>
      <c r="C518" s="40" t="s">
        <v>24</v>
      </c>
      <c r="D518" s="40" t="s">
        <v>27</v>
      </c>
      <c r="E518" s="40" t="s">
        <v>309</v>
      </c>
      <c r="F518" s="40"/>
      <c r="G518" s="29">
        <f>G519+G521</f>
        <v>1142.2</v>
      </c>
      <c r="I518" s="47">
        <f>I519+I521</f>
        <v>2284.41</v>
      </c>
      <c r="K518" s="47">
        <f>K519+K521</f>
        <v>2284.41</v>
      </c>
      <c r="M518" s="47">
        <f>M519+M521</f>
        <v>0</v>
      </c>
      <c r="O518" s="47">
        <f>O519+O521</f>
        <v>0</v>
      </c>
      <c r="P518" s="30"/>
      <c r="Q518" s="47">
        <f>Q519+Q521</f>
        <v>0</v>
      </c>
      <c r="S518" s="47">
        <f>S519+S521</f>
        <v>0</v>
      </c>
      <c r="V518" s="47">
        <f>V519+V521</f>
        <v>0</v>
      </c>
      <c r="X518" s="47">
        <f>X519+X521</f>
        <v>0</v>
      </c>
      <c r="Z518" s="47">
        <f>Z519+Z521</f>
        <v>0</v>
      </c>
      <c r="AA518" s="86">
        <v>0</v>
      </c>
      <c r="AB518" s="85">
        <v>0</v>
      </c>
    </row>
    <row r="519" spans="1:29" ht="20.25" customHeight="1" x14ac:dyDescent="0.25">
      <c r="A519" s="19" t="s">
        <v>327</v>
      </c>
      <c r="B519" s="40"/>
      <c r="C519" s="40" t="s">
        <v>24</v>
      </c>
      <c r="D519" s="40" t="s">
        <v>27</v>
      </c>
      <c r="E519" s="40" t="s">
        <v>328</v>
      </c>
      <c r="F519" s="40"/>
      <c r="G519" s="29">
        <f>G520</f>
        <v>250.1</v>
      </c>
      <c r="I519" s="47">
        <f>I520</f>
        <v>500.19</v>
      </c>
      <c r="K519" s="47">
        <f>K520</f>
        <v>500.19</v>
      </c>
      <c r="M519" s="47">
        <f>M520</f>
        <v>0</v>
      </c>
      <c r="O519" s="47">
        <f>O520</f>
        <v>0</v>
      </c>
      <c r="P519" s="30"/>
      <c r="Q519" s="47">
        <f>Q520</f>
        <v>0</v>
      </c>
      <c r="S519" s="47">
        <f>S520</f>
        <v>0</v>
      </c>
      <c r="V519" s="47">
        <f>V520</f>
        <v>0</v>
      </c>
      <c r="X519" s="47">
        <f>X520</f>
        <v>0</v>
      </c>
      <c r="Z519" s="47">
        <f>Z520</f>
        <v>0</v>
      </c>
      <c r="AA519" s="86">
        <v>0</v>
      </c>
      <c r="AB519" s="85">
        <v>0</v>
      </c>
    </row>
    <row r="520" spans="1:29" ht="33.75" customHeight="1" x14ac:dyDescent="0.25">
      <c r="A520" s="19" t="s">
        <v>329</v>
      </c>
      <c r="B520" s="40"/>
      <c r="C520" s="40" t="s">
        <v>24</v>
      </c>
      <c r="D520" s="40" t="s">
        <v>27</v>
      </c>
      <c r="E520" s="40" t="s">
        <v>328</v>
      </c>
      <c r="F520" s="40" t="s">
        <v>325</v>
      </c>
      <c r="G520" s="29">
        <v>250.1</v>
      </c>
      <c r="H520" s="52">
        <v>250.09</v>
      </c>
      <c r="I520" s="47">
        <f t="shared" ref="I520:K522" si="500">G520+H520</f>
        <v>500.19</v>
      </c>
      <c r="K520" s="47">
        <f t="shared" si="500"/>
        <v>500.19</v>
      </c>
      <c r="L520" s="30">
        <v>-500.19</v>
      </c>
      <c r="M520" s="47">
        <f t="shared" ref="M520" si="501">K520+L520</f>
        <v>0</v>
      </c>
      <c r="O520" s="47">
        <f t="shared" ref="O520" si="502">M520+N520</f>
        <v>0</v>
      </c>
      <c r="P520" s="30"/>
      <c r="Q520" s="47">
        <f t="shared" ref="Q520" si="503">O520+P520</f>
        <v>0</v>
      </c>
      <c r="S520" s="47">
        <f t="shared" ref="S520" si="504">Q520+R520</f>
        <v>0</v>
      </c>
      <c r="V520" s="47">
        <f>S520+U520</f>
        <v>0</v>
      </c>
      <c r="X520" s="47">
        <f>V520+W520</f>
        <v>0</v>
      </c>
      <c r="Z520" s="47">
        <f>X520+Y520</f>
        <v>0</v>
      </c>
      <c r="AA520" s="86">
        <v>0</v>
      </c>
      <c r="AB520" s="85">
        <v>0</v>
      </c>
    </row>
    <row r="521" spans="1:29" ht="19.5" customHeight="1" x14ac:dyDescent="0.25">
      <c r="A521" s="19" t="s">
        <v>331</v>
      </c>
      <c r="B521" s="40"/>
      <c r="C521" s="40" t="s">
        <v>24</v>
      </c>
      <c r="D521" s="40" t="s">
        <v>27</v>
      </c>
      <c r="E521" s="40" t="s">
        <v>330</v>
      </c>
      <c r="F521" s="40"/>
      <c r="G521" s="29">
        <f>G522</f>
        <v>892.1</v>
      </c>
      <c r="I521" s="47">
        <f>I522</f>
        <v>1784.22</v>
      </c>
      <c r="K521" s="47">
        <f>K522</f>
        <v>1784.22</v>
      </c>
      <c r="M521" s="47">
        <f>M522</f>
        <v>0</v>
      </c>
      <c r="O521" s="47">
        <f>O522</f>
        <v>0</v>
      </c>
      <c r="P521" s="30"/>
      <c r="Q521" s="47">
        <f>Q522</f>
        <v>0</v>
      </c>
      <c r="S521" s="47">
        <f>S522</f>
        <v>0</v>
      </c>
      <c r="V521" s="47">
        <f>V522</f>
        <v>0</v>
      </c>
      <c r="X521" s="47">
        <f>X522</f>
        <v>0</v>
      </c>
      <c r="Z521" s="47">
        <f>Z522</f>
        <v>0</v>
      </c>
      <c r="AA521" s="86">
        <v>0</v>
      </c>
      <c r="AB521" s="85">
        <v>0</v>
      </c>
    </row>
    <row r="522" spans="1:29" ht="16.5" customHeight="1" x14ac:dyDescent="0.25">
      <c r="A522" s="19" t="s">
        <v>329</v>
      </c>
      <c r="B522" s="40"/>
      <c r="C522" s="40" t="s">
        <v>24</v>
      </c>
      <c r="D522" s="40" t="s">
        <v>27</v>
      </c>
      <c r="E522" s="40" t="s">
        <v>330</v>
      </c>
      <c r="F522" s="40" t="s">
        <v>325</v>
      </c>
      <c r="G522" s="29">
        <v>892.1</v>
      </c>
      <c r="H522" s="52">
        <v>892.12</v>
      </c>
      <c r="I522" s="47">
        <f t="shared" si="500"/>
        <v>1784.22</v>
      </c>
      <c r="K522" s="47">
        <f t="shared" si="500"/>
        <v>1784.22</v>
      </c>
      <c r="L522" s="30">
        <v>-1784.22</v>
      </c>
      <c r="M522" s="47">
        <f t="shared" ref="M522" si="505">K522+L522</f>
        <v>0</v>
      </c>
      <c r="O522" s="47">
        <f t="shared" ref="O522" si="506">M522+N522</f>
        <v>0</v>
      </c>
      <c r="P522" s="30"/>
      <c r="Q522" s="47">
        <f t="shared" ref="Q522" si="507">O522+P522</f>
        <v>0</v>
      </c>
      <c r="S522" s="47">
        <f t="shared" ref="S522" si="508">Q522+R522</f>
        <v>0</v>
      </c>
      <c r="V522" s="47">
        <f>S522+U522</f>
        <v>0</v>
      </c>
      <c r="X522" s="47">
        <f>V522+W522</f>
        <v>0</v>
      </c>
      <c r="Z522" s="47">
        <f>X522+Y522</f>
        <v>0</v>
      </c>
      <c r="AA522" s="86">
        <v>0</v>
      </c>
      <c r="AB522" s="85">
        <v>0</v>
      </c>
    </row>
    <row r="523" spans="1:29" x14ac:dyDescent="0.25">
      <c r="A523" s="27" t="s">
        <v>45</v>
      </c>
      <c r="B523" s="35"/>
      <c r="C523" s="35" t="s">
        <v>46</v>
      </c>
      <c r="D523" s="35"/>
      <c r="E523" s="35"/>
      <c r="F523" s="35"/>
      <c r="G523" s="36"/>
      <c r="H523" s="56"/>
      <c r="I523" s="48">
        <f>I524</f>
        <v>9560.09</v>
      </c>
      <c r="J523" s="57"/>
      <c r="K523" s="48">
        <f>K524</f>
        <v>6657.43</v>
      </c>
      <c r="L523" s="66"/>
      <c r="M523" s="48">
        <f>M524</f>
        <v>5384.01</v>
      </c>
      <c r="N523" s="66"/>
      <c r="O523" s="48">
        <f>O524+O541</f>
        <v>5884.01</v>
      </c>
      <c r="P523" s="66"/>
      <c r="Q523" s="48">
        <f>Q524+Q541</f>
        <v>5884.01</v>
      </c>
      <c r="R523" s="66"/>
      <c r="S523" s="48">
        <f>S524+S541</f>
        <v>31824.83</v>
      </c>
      <c r="U523" s="66"/>
      <c r="V523" s="48">
        <f>V524+V541</f>
        <v>31824.83</v>
      </c>
      <c r="W523" s="66"/>
      <c r="X523" s="48">
        <f>X524+X541</f>
        <v>31860.78</v>
      </c>
      <c r="Y523" s="66"/>
      <c r="Z523" s="48">
        <f>Z524+Z541</f>
        <v>31472.36</v>
      </c>
      <c r="AA523" s="48">
        <f>AA524+AA541</f>
        <v>27165.02</v>
      </c>
      <c r="AB523" s="87">
        <f t="shared" si="450"/>
        <v>0.86313895748523461</v>
      </c>
    </row>
    <row r="524" spans="1:29" x14ac:dyDescent="0.25">
      <c r="A524" s="10" t="s">
        <v>47</v>
      </c>
      <c r="B524" s="35"/>
      <c r="C524" s="35" t="s">
        <v>46</v>
      </c>
      <c r="D524" s="35" t="s">
        <v>17</v>
      </c>
      <c r="E524" s="35"/>
      <c r="F524" s="35"/>
      <c r="G524" s="36"/>
      <c r="H524" s="56"/>
      <c r="I524" s="48">
        <f>I529+I535+I537+I539</f>
        <v>9560.09</v>
      </c>
      <c r="J524" s="57"/>
      <c r="K524" s="48">
        <f>K529+K535+K537+K539</f>
        <v>6657.43</v>
      </c>
      <c r="L524" s="66"/>
      <c r="M524" s="48">
        <f>M529+M535+M537+M539+M531+M533</f>
        <v>5384.01</v>
      </c>
      <c r="N524" s="66"/>
      <c r="O524" s="48">
        <f>O529+O535+O537+O539+O531+O533</f>
        <v>5384.01</v>
      </c>
      <c r="P524" s="66"/>
      <c r="Q524" s="48">
        <f>Q529+Q535+Q537+Q539+Q531+Q533</f>
        <v>5384.01</v>
      </c>
      <c r="R524" s="66"/>
      <c r="S524" s="48">
        <f>S529+S535+S537+S539+S531+S533+S525</f>
        <v>31324.83</v>
      </c>
      <c r="U524" s="66"/>
      <c r="V524" s="48">
        <f>V529+V535+V537+V539+V531+V533+V525</f>
        <v>31324.83</v>
      </c>
      <c r="W524" s="66"/>
      <c r="X524" s="48">
        <f>X529+X535+X537+X539+X531+X533+X525</f>
        <v>31360.78</v>
      </c>
      <c r="Y524" s="66"/>
      <c r="Z524" s="48">
        <f>Z529+Z535+Z537+Z539+Z531+Z533+Z525</f>
        <v>30972.36</v>
      </c>
      <c r="AA524" s="48">
        <f>AA529+AA535+AA537+AA539+AA531+AA533+AA525</f>
        <v>26665.23</v>
      </c>
      <c r="AB524" s="87">
        <f t="shared" si="450"/>
        <v>0.86093633161954719</v>
      </c>
    </row>
    <row r="525" spans="1:29" ht="31.5" x14ac:dyDescent="0.25">
      <c r="A525" s="19" t="s">
        <v>597</v>
      </c>
      <c r="B525" s="40"/>
      <c r="C525" s="40" t="s">
        <v>46</v>
      </c>
      <c r="D525" s="40" t="s">
        <v>17</v>
      </c>
      <c r="E525" s="40" t="s">
        <v>453</v>
      </c>
      <c r="F525" s="40"/>
      <c r="G525" s="29"/>
      <c r="I525" s="47">
        <v>0</v>
      </c>
      <c r="K525" s="47"/>
      <c r="M525" s="47"/>
      <c r="O525" s="47"/>
      <c r="P525" s="30"/>
      <c r="Q525" s="47"/>
      <c r="S525" s="47">
        <f>S526+S527+S528</f>
        <v>24796.799999999999</v>
      </c>
      <c r="V525" s="47">
        <f>V526+V527+V528</f>
        <v>24796.799999999999</v>
      </c>
      <c r="X525" s="47">
        <f>X526+X527+X528</f>
        <v>24832.75</v>
      </c>
      <c r="Z525" s="47">
        <f>Z526+Z527+Z528</f>
        <v>24678.75</v>
      </c>
      <c r="AA525" s="47">
        <f>AA526+AA527+AA528</f>
        <v>22020.329999999998</v>
      </c>
      <c r="AB525" s="85">
        <f t="shared" ref="AB525:AB586" si="509">AA525/Z525</f>
        <v>0.89227898495669344</v>
      </c>
    </row>
    <row r="526" spans="1:29" ht="47.25" x14ac:dyDescent="0.25">
      <c r="A526" s="45" t="s">
        <v>602</v>
      </c>
      <c r="B526" s="40"/>
      <c r="C526" s="40" t="s">
        <v>46</v>
      </c>
      <c r="D526" s="40" t="s">
        <v>17</v>
      </c>
      <c r="E526" s="40" t="s">
        <v>453</v>
      </c>
      <c r="F526" s="40" t="s">
        <v>325</v>
      </c>
      <c r="G526" s="29"/>
      <c r="I526" s="47">
        <v>0</v>
      </c>
      <c r="K526" s="47"/>
      <c r="M526" s="47"/>
      <c r="O526" s="47"/>
      <c r="P526" s="30"/>
      <c r="Q526" s="47"/>
      <c r="R526" s="30">
        <v>6961</v>
      </c>
      <c r="S526" s="47">
        <f t="shared" ref="S526:S528" si="510">Q526+R526</f>
        <v>6961</v>
      </c>
      <c r="V526" s="47">
        <f>S526+U526</f>
        <v>6961</v>
      </c>
      <c r="X526" s="47">
        <f>V526+W526</f>
        <v>6961</v>
      </c>
      <c r="Z526" s="47">
        <f>X526+Y526-154</f>
        <v>6807</v>
      </c>
      <c r="AA526" s="86">
        <v>6104.15</v>
      </c>
      <c r="AB526" s="85">
        <f t="shared" si="509"/>
        <v>0.8967459967680329</v>
      </c>
      <c r="AC526" s="50">
        <v>-154</v>
      </c>
    </row>
    <row r="527" spans="1:29" ht="63" x14ac:dyDescent="0.25">
      <c r="A527" s="73" t="s">
        <v>601</v>
      </c>
      <c r="B527" s="40"/>
      <c r="C527" s="40" t="s">
        <v>46</v>
      </c>
      <c r="D527" s="40" t="s">
        <v>17</v>
      </c>
      <c r="E527" s="40" t="s">
        <v>453</v>
      </c>
      <c r="F527" s="40" t="s">
        <v>325</v>
      </c>
      <c r="G527" s="29"/>
      <c r="I527" s="47">
        <v>0</v>
      </c>
      <c r="K527" s="47"/>
      <c r="M527" s="47"/>
      <c r="O527" s="47"/>
      <c r="P527" s="30"/>
      <c r="Q527" s="47"/>
      <c r="R527" s="30">
        <v>17595.75</v>
      </c>
      <c r="S527" s="47">
        <f t="shared" si="510"/>
        <v>17595.75</v>
      </c>
      <c r="V527" s="47">
        <f>S527+U527</f>
        <v>17595.75</v>
      </c>
      <c r="X527" s="47">
        <f>V527+W527</f>
        <v>17595.75</v>
      </c>
      <c r="Z527" s="47">
        <f>X527+Y527</f>
        <v>17595.75</v>
      </c>
      <c r="AA527" s="86">
        <v>15676.13</v>
      </c>
      <c r="AB527" s="85">
        <f t="shared" si="509"/>
        <v>0.89090433769518207</v>
      </c>
    </row>
    <row r="528" spans="1:29" ht="47.25" x14ac:dyDescent="0.25">
      <c r="A528" s="73" t="s">
        <v>603</v>
      </c>
      <c r="B528" s="40"/>
      <c r="C528" s="40" t="s">
        <v>46</v>
      </c>
      <c r="D528" s="40" t="s">
        <v>17</v>
      </c>
      <c r="E528" s="40" t="s">
        <v>453</v>
      </c>
      <c r="F528" s="40" t="s">
        <v>325</v>
      </c>
      <c r="G528" s="29"/>
      <c r="I528" s="47">
        <v>0</v>
      </c>
      <c r="K528" s="47"/>
      <c r="M528" s="47"/>
      <c r="O528" s="47"/>
      <c r="P528" s="30"/>
      <c r="Q528" s="47"/>
      <c r="R528" s="30">
        <v>240.05</v>
      </c>
      <c r="S528" s="47">
        <f t="shared" si="510"/>
        <v>240.05</v>
      </c>
      <c r="V528" s="47">
        <f>S528+U528</f>
        <v>240.05</v>
      </c>
      <c r="W528" s="30">
        <v>35.950000000000003</v>
      </c>
      <c r="X528" s="47">
        <f>V528+W528</f>
        <v>276</v>
      </c>
      <c r="Z528" s="47">
        <f>X528+Y528</f>
        <v>276</v>
      </c>
      <c r="AA528" s="86">
        <v>240.05</v>
      </c>
      <c r="AB528" s="85">
        <f t="shared" si="509"/>
        <v>0.86974637681159428</v>
      </c>
    </row>
    <row r="529" spans="1:29" ht="15.75" customHeight="1" x14ac:dyDescent="0.25">
      <c r="A529" s="20" t="s">
        <v>375</v>
      </c>
      <c r="B529" s="40"/>
      <c r="C529" s="40" t="s">
        <v>46</v>
      </c>
      <c r="D529" s="40" t="s">
        <v>17</v>
      </c>
      <c r="E529" s="40" t="s">
        <v>374</v>
      </c>
      <c r="F529" s="40"/>
      <c r="G529" s="29"/>
      <c r="I529" s="47">
        <f>I530</f>
        <v>1916.8000000000002</v>
      </c>
      <c r="K529" s="47">
        <f>K530</f>
        <v>1916.8000000000002</v>
      </c>
      <c r="M529" s="47">
        <f>M530</f>
        <v>1916.8000000000002</v>
      </c>
      <c r="O529" s="47">
        <f>O530</f>
        <v>1916.8000000000002</v>
      </c>
      <c r="P529" s="30"/>
      <c r="Q529" s="47">
        <f>Q530</f>
        <v>1916.8000000000002</v>
      </c>
      <c r="S529" s="47">
        <f>S530</f>
        <v>1896.4400000000003</v>
      </c>
      <c r="V529" s="47">
        <f>V530</f>
        <v>1896.4400000000003</v>
      </c>
      <c r="X529" s="47">
        <f>X530</f>
        <v>1896.4400000000003</v>
      </c>
      <c r="Z529" s="47">
        <f>Z530</f>
        <v>1896.4400000000003</v>
      </c>
      <c r="AA529" s="47">
        <f>AA530</f>
        <v>1695</v>
      </c>
      <c r="AB529" s="85">
        <f t="shared" si="509"/>
        <v>0.89377992449009713</v>
      </c>
    </row>
    <row r="530" spans="1:29" x14ac:dyDescent="0.25">
      <c r="A530" s="43" t="s">
        <v>244</v>
      </c>
      <c r="B530" s="40"/>
      <c r="C530" s="40" t="s">
        <v>46</v>
      </c>
      <c r="D530" s="40" t="s">
        <v>17</v>
      </c>
      <c r="E530" s="40" t="s">
        <v>374</v>
      </c>
      <c r="F530" s="40" t="s">
        <v>225</v>
      </c>
      <c r="G530" s="29"/>
      <c r="H530" s="52">
        <f>1195.9+720.9</f>
        <v>1916.8000000000002</v>
      </c>
      <c r="I530" s="47">
        <f t="shared" ref="I530:K540" si="511">G530+H530</f>
        <v>1916.8000000000002</v>
      </c>
      <c r="K530" s="47">
        <f t="shared" si="511"/>
        <v>1916.8000000000002</v>
      </c>
      <c r="M530" s="47">
        <f t="shared" ref="M530" si="512">K530+L530</f>
        <v>1916.8000000000002</v>
      </c>
      <c r="O530" s="47">
        <f t="shared" ref="O530" si="513">M530+N530</f>
        <v>1916.8000000000002</v>
      </c>
      <c r="P530" s="30"/>
      <c r="Q530" s="47">
        <f t="shared" ref="Q530" si="514">O530+P530</f>
        <v>1916.8000000000002</v>
      </c>
      <c r="R530" s="30">
        <v>-20.36</v>
      </c>
      <c r="S530" s="47">
        <f t="shared" ref="S530" si="515">Q530+R530</f>
        <v>1896.4400000000003</v>
      </c>
      <c r="V530" s="47">
        <f>S530+U530</f>
        <v>1896.4400000000003</v>
      </c>
      <c r="X530" s="47">
        <f>V530+W530</f>
        <v>1896.4400000000003</v>
      </c>
      <c r="Z530" s="47">
        <f>X530+Y530</f>
        <v>1896.4400000000003</v>
      </c>
      <c r="AA530" s="86">
        <v>1695</v>
      </c>
      <c r="AB530" s="85">
        <f t="shared" si="509"/>
        <v>0.89377992449009713</v>
      </c>
    </row>
    <row r="531" spans="1:29" ht="30" x14ac:dyDescent="0.25">
      <c r="A531" s="43" t="s">
        <v>482</v>
      </c>
      <c r="B531" s="40"/>
      <c r="C531" s="40" t="s">
        <v>46</v>
      </c>
      <c r="D531" s="40" t="s">
        <v>17</v>
      </c>
      <c r="E531" s="40" t="s">
        <v>481</v>
      </c>
      <c r="F531" s="40"/>
      <c r="G531" s="29"/>
      <c r="I531" s="47">
        <v>0</v>
      </c>
      <c r="K531" s="47"/>
      <c r="M531" s="47">
        <f>M532</f>
        <v>1189.49</v>
      </c>
      <c r="O531" s="47">
        <f>O532</f>
        <v>1189.49</v>
      </c>
      <c r="P531" s="30"/>
      <c r="Q531" s="47">
        <f>Q532</f>
        <v>1189.49</v>
      </c>
      <c r="S531" s="47">
        <f>S532</f>
        <v>1189.49</v>
      </c>
      <c r="V531" s="47">
        <f>V532</f>
        <v>1189.49</v>
      </c>
      <c r="X531" s="47">
        <f>X532</f>
        <v>1189.49</v>
      </c>
      <c r="Z531" s="47">
        <f>Z532</f>
        <v>1189.49</v>
      </c>
      <c r="AA531" s="47">
        <f>AA532</f>
        <v>1059.72</v>
      </c>
      <c r="AB531" s="85">
        <f t="shared" si="509"/>
        <v>0.89090282389931819</v>
      </c>
    </row>
    <row r="532" spans="1:29" ht="31.5" x14ac:dyDescent="0.25">
      <c r="A532" s="19" t="s">
        <v>469</v>
      </c>
      <c r="B532" s="40"/>
      <c r="C532" s="40" t="s">
        <v>46</v>
      </c>
      <c r="D532" s="40" t="s">
        <v>17</v>
      </c>
      <c r="E532" s="40" t="s">
        <v>481</v>
      </c>
      <c r="F532" s="40" t="s">
        <v>325</v>
      </c>
      <c r="G532" s="29"/>
      <c r="I532" s="47">
        <v>0</v>
      </c>
      <c r="K532" s="47"/>
      <c r="L532" s="30">
        <v>1189.49</v>
      </c>
      <c r="M532" s="47">
        <f>K532+L532</f>
        <v>1189.49</v>
      </c>
      <c r="O532" s="47">
        <f>M532+N532</f>
        <v>1189.49</v>
      </c>
      <c r="P532" s="30"/>
      <c r="Q532" s="47">
        <f>O532+P532</f>
        <v>1189.49</v>
      </c>
      <c r="S532" s="47">
        <f>Q532+R532</f>
        <v>1189.49</v>
      </c>
      <c r="V532" s="47">
        <f>S532+U532</f>
        <v>1189.49</v>
      </c>
      <c r="X532" s="47">
        <f>V532+W532</f>
        <v>1189.49</v>
      </c>
      <c r="Z532" s="47">
        <f>X532+Y532</f>
        <v>1189.49</v>
      </c>
      <c r="AA532" s="86">
        <v>1059.72</v>
      </c>
      <c r="AB532" s="85">
        <f t="shared" si="509"/>
        <v>0.89090282389931819</v>
      </c>
    </row>
    <row r="533" spans="1:29" ht="30" x14ac:dyDescent="0.25">
      <c r="A533" s="43" t="s">
        <v>482</v>
      </c>
      <c r="B533" s="40"/>
      <c r="C533" s="40" t="s">
        <v>46</v>
      </c>
      <c r="D533" s="40" t="s">
        <v>17</v>
      </c>
      <c r="E533" s="40" t="s">
        <v>330</v>
      </c>
      <c r="F533" s="40"/>
      <c r="G533" s="29"/>
      <c r="I533" s="47">
        <v>0</v>
      </c>
      <c r="K533" s="47"/>
      <c r="M533" s="47">
        <f>M534</f>
        <v>1784.22</v>
      </c>
      <c r="O533" s="47">
        <f>O534</f>
        <v>1784.22</v>
      </c>
      <c r="P533" s="30"/>
      <c r="Q533" s="47">
        <f>Q534</f>
        <v>1784.22</v>
      </c>
      <c r="S533" s="47">
        <f>S534</f>
        <v>1784.2</v>
      </c>
      <c r="V533" s="47">
        <f>V534</f>
        <v>1784.2</v>
      </c>
      <c r="X533" s="47">
        <f>X534</f>
        <v>1784.2</v>
      </c>
      <c r="Z533" s="47">
        <f>Z534</f>
        <v>1549.7800000000002</v>
      </c>
      <c r="AA533" s="47">
        <f>AA534</f>
        <v>1396.68</v>
      </c>
      <c r="AB533" s="85">
        <f t="shared" si="509"/>
        <v>0.90121178489850162</v>
      </c>
    </row>
    <row r="534" spans="1:29" ht="31.5" x14ac:dyDescent="0.25">
      <c r="A534" s="19" t="s">
        <v>470</v>
      </c>
      <c r="B534" s="40"/>
      <c r="C534" s="40" t="s">
        <v>46</v>
      </c>
      <c r="D534" s="40" t="s">
        <v>17</v>
      </c>
      <c r="E534" s="40" t="s">
        <v>330</v>
      </c>
      <c r="F534" s="40" t="s">
        <v>325</v>
      </c>
      <c r="G534" s="29"/>
      <c r="I534" s="47">
        <v>0</v>
      </c>
      <c r="K534" s="47"/>
      <c r="L534" s="30">
        <v>1784.22</v>
      </c>
      <c r="M534" s="47">
        <f>K534+L534</f>
        <v>1784.22</v>
      </c>
      <c r="O534" s="47">
        <f>M534+N534</f>
        <v>1784.22</v>
      </c>
      <c r="P534" s="30"/>
      <c r="Q534" s="47">
        <f>O534+P534</f>
        <v>1784.22</v>
      </c>
      <c r="R534" s="30">
        <v>-0.02</v>
      </c>
      <c r="S534" s="47">
        <f>Q534+R534</f>
        <v>1784.2</v>
      </c>
      <c r="V534" s="47">
        <f>S534+U534</f>
        <v>1784.2</v>
      </c>
      <c r="X534" s="47">
        <f>V534+W534</f>
        <v>1784.2</v>
      </c>
      <c r="Y534" s="30">
        <v>-166.1</v>
      </c>
      <c r="Z534" s="47">
        <f>X534+Y534-68.32</f>
        <v>1549.7800000000002</v>
      </c>
      <c r="AA534" s="86">
        <v>1396.68</v>
      </c>
      <c r="AB534" s="85">
        <f t="shared" si="509"/>
        <v>0.90121178489850162</v>
      </c>
      <c r="AC534" s="50">
        <v>-68.319999999999993</v>
      </c>
    </row>
    <row r="535" spans="1:29" ht="13.5" customHeight="1" x14ac:dyDescent="0.25">
      <c r="A535" s="43" t="s">
        <v>378</v>
      </c>
      <c r="B535" s="40"/>
      <c r="C535" s="40" t="s">
        <v>46</v>
      </c>
      <c r="D535" s="40" t="s">
        <v>17</v>
      </c>
      <c r="E535" s="40" t="s">
        <v>387</v>
      </c>
      <c r="F535" s="40"/>
      <c r="G535" s="29"/>
      <c r="I535" s="47">
        <f>I536</f>
        <v>493.5</v>
      </c>
      <c r="K535" s="47">
        <f>K536</f>
        <v>493.5</v>
      </c>
      <c r="M535" s="47">
        <f>M536</f>
        <v>493.5</v>
      </c>
      <c r="O535" s="47">
        <f>O536</f>
        <v>493.5</v>
      </c>
      <c r="P535" s="30"/>
      <c r="Q535" s="47">
        <f>Q536</f>
        <v>493.5</v>
      </c>
      <c r="S535" s="47">
        <f>S536</f>
        <v>493.5</v>
      </c>
      <c r="V535" s="47">
        <f>V536</f>
        <v>493.5</v>
      </c>
      <c r="X535" s="47">
        <f>X536</f>
        <v>493.5</v>
      </c>
      <c r="Z535" s="47">
        <f>Z536</f>
        <v>493.5</v>
      </c>
      <c r="AA535" s="47">
        <f>AA536</f>
        <v>493.5</v>
      </c>
      <c r="AB535" s="85">
        <f t="shared" si="509"/>
        <v>1</v>
      </c>
    </row>
    <row r="536" spans="1:29" ht="15" customHeight="1" x14ac:dyDescent="0.25">
      <c r="A536" s="19" t="s">
        <v>329</v>
      </c>
      <c r="B536" s="40"/>
      <c r="C536" s="40" t="s">
        <v>46</v>
      </c>
      <c r="D536" s="40" t="s">
        <v>17</v>
      </c>
      <c r="E536" s="40" t="s">
        <v>387</v>
      </c>
      <c r="F536" s="40" t="s">
        <v>325</v>
      </c>
      <c r="G536" s="29"/>
      <c r="H536" s="52">
        <v>493.5</v>
      </c>
      <c r="I536" s="47">
        <f t="shared" si="511"/>
        <v>493.5</v>
      </c>
      <c r="K536" s="47">
        <f t="shared" si="511"/>
        <v>493.5</v>
      </c>
      <c r="M536" s="47">
        <f t="shared" ref="M536" si="516">K536+L536</f>
        <v>493.5</v>
      </c>
      <c r="O536" s="47">
        <f t="shared" ref="O536" si="517">M536+N536</f>
        <v>493.5</v>
      </c>
      <c r="P536" s="30"/>
      <c r="Q536" s="47">
        <f t="shared" ref="Q536" si="518">O536+P536</f>
        <v>493.5</v>
      </c>
      <c r="S536" s="47">
        <f t="shared" ref="S536" si="519">Q536+R536</f>
        <v>493.5</v>
      </c>
      <c r="V536" s="47">
        <f>S536+U536</f>
        <v>493.5</v>
      </c>
      <c r="X536" s="47">
        <f>V536+W536</f>
        <v>493.5</v>
      </c>
      <c r="Z536" s="47">
        <f>X536+Y536</f>
        <v>493.5</v>
      </c>
      <c r="AA536" s="86">
        <v>493.5</v>
      </c>
      <c r="AB536" s="85">
        <f t="shared" si="509"/>
        <v>1</v>
      </c>
    </row>
    <row r="537" spans="1:29" ht="32.25" customHeight="1" x14ac:dyDescent="0.25">
      <c r="A537" s="43" t="s">
        <v>600</v>
      </c>
      <c r="B537" s="40"/>
      <c r="C537" s="40" t="s">
        <v>46</v>
      </c>
      <c r="D537" s="40" t="s">
        <v>17</v>
      </c>
      <c r="E537" s="40" t="s">
        <v>387</v>
      </c>
      <c r="F537" s="40"/>
      <c r="G537" s="29"/>
      <c r="I537" s="47">
        <f>I538</f>
        <v>4247.13</v>
      </c>
      <c r="K537" s="47">
        <f>K538</f>
        <v>4247.13</v>
      </c>
      <c r="M537" s="47">
        <f>M538</f>
        <v>0</v>
      </c>
      <c r="O537" s="47">
        <f>O538</f>
        <v>0</v>
      </c>
      <c r="P537" s="30"/>
      <c r="Q537" s="47">
        <f>Q538</f>
        <v>0</v>
      </c>
      <c r="S537" s="47">
        <f>S538</f>
        <v>1164.4000000000001</v>
      </c>
      <c r="V537" s="47">
        <f>V538</f>
        <v>1164.4000000000001</v>
      </c>
      <c r="X537" s="47">
        <f>X538</f>
        <v>1164.4000000000001</v>
      </c>
      <c r="Z537" s="47">
        <f>Z538</f>
        <v>1164.4000000000001</v>
      </c>
      <c r="AA537" s="47">
        <f>AA538</f>
        <v>0</v>
      </c>
      <c r="AB537" s="85">
        <f t="shared" si="509"/>
        <v>0</v>
      </c>
    </row>
    <row r="538" spans="1:29" ht="29.25" customHeight="1" x14ac:dyDescent="0.25">
      <c r="A538" s="19" t="s">
        <v>329</v>
      </c>
      <c r="B538" s="40"/>
      <c r="C538" s="40" t="s">
        <v>46</v>
      </c>
      <c r="D538" s="40" t="s">
        <v>17</v>
      </c>
      <c r="E538" s="40" t="s">
        <v>387</v>
      </c>
      <c r="F538" s="40" t="s">
        <v>325</v>
      </c>
      <c r="G538" s="29"/>
      <c r="H538" s="52">
        <v>4247.13</v>
      </c>
      <c r="I538" s="47">
        <f t="shared" si="511"/>
        <v>4247.13</v>
      </c>
      <c r="K538" s="47">
        <f t="shared" si="511"/>
        <v>4247.13</v>
      </c>
      <c r="L538" s="30">
        <v>-4247.13</v>
      </c>
      <c r="M538" s="47">
        <f t="shared" ref="M538" si="520">K538+L538</f>
        <v>0</v>
      </c>
      <c r="O538" s="47">
        <f t="shared" ref="O538" si="521">M538+N538</f>
        <v>0</v>
      </c>
      <c r="P538" s="30"/>
      <c r="Q538" s="47">
        <f t="shared" ref="Q538" si="522">O538+P538</f>
        <v>0</v>
      </c>
      <c r="R538" s="30">
        <v>1164.4000000000001</v>
      </c>
      <c r="S538" s="47">
        <f t="shared" ref="S538" si="523">Q538+R538</f>
        <v>1164.4000000000001</v>
      </c>
      <c r="V538" s="47">
        <f>S538+U538</f>
        <v>1164.4000000000001</v>
      </c>
      <c r="X538" s="47">
        <f>V538+W538</f>
        <v>1164.4000000000001</v>
      </c>
      <c r="Z538" s="47">
        <f>X538+Y538</f>
        <v>1164.4000000000001</v>
      </c>
      <c r="AA538" s="86">
        <v>0</v>
      </c>
      <c r="AB538" s="85">
        <f t="shared" si="509"/>
        <v>0</v>
      </c>
    </row>
    <row r="539" spans="1:29" ht="30" customHeight="1" x14ac:dyDescent="0.25">
      <c r="A539" s="19" t="s">
        <v>389</v>
      </c>
      <c r="B539" s="40"/>
      <c r="C539" s="40" t="s">
        <v>46</v>
      </c>
      <c r="D539" s="40" t="s">
        <v>17</v>
      </c>
      <c r="E539" s="40" t="s">
        <v>388</v>
      </c>
      <c r="F539" s="40"/>
      <c r="G539" s="29"/>
      <c r="I539" s="47">
        <f>I540</f>
        <v>2902.66</v>
      </c>
      <c r="K539" s="47">
        <f>K540</f>
        <v>0</v>
      </c>
      <c r="M539" s="47">
        <f>M540</f>
        <v>0</v>
      </c>
      <c r="O539" s="47">
        <f>O540</f>
        <v>0</v>
      </c>
      <c r="P539" s="30"/>
      <c r="Q539" s="47">
        <f>Q540</f>
        <v>0</v>
      </c>
      <c r="S539" s="47">
        <f>S540</f>
        <v>0</v>
      </c>
      <c r="V539" s="47">
        <f>V540</f>
        <v>0</v>
      </c>
      <c r="X539" s="47">
        <f>X540</f>
        <v>0</v>
      </c>
      <c r="Z539" s="47">
        <f>Z540</f>
        <v>0</v>
      </c>
      <c r="AA539" s="86">
        <v>0</v>
      </c>
      <c r="AB539" s="85">
        <v>0</v>
      </c>
    </row>
    <row r="540" spans="1:29" ht="37.5" customHeight="1" x14ac:dyDescent="0.25">
      <c r="A540" s="19" t="s">
        <v>329</v>
      </c>
      <c r="B540" s="40"/>
      <c r="C540" s="40" t="s">
        <v>46</v>
      </c>
      <c r="D540" s="40" t="s">
        <v>17</v>
      </c>
      <c r="E540" s="40" t="s">
        <v>388</v>
      </c>
      <c r="F540" s="40" t="s">
        <v>325</v>
      </c>
      <c r="G540" s="29"/>
      <c r="H540" s="52">
        <v>2902.66</v>
      </c>
      <c r="I540" s="47">
        <f t="shared" si="511"/>
        <v>2902.66</v>
      </c>
      <c r="J540" s="28">
        <v>-2902.66</v>
      </c>
      <c r="K540" s="47">
        <f t="shared" si="511"/>
        <v>0</v>
      </c>
      <c r="M540" s="47">
        <f t="shared" ref="M540" si="524">K540+L540</f>
        <v>0</v>
      </c>
      <c r="O540" s="47">
        <f t="shared" ref="O540" si="525">M540+N540</f>
        <v>0</v>
      </c>
      <c r="P540" s="30"/>
      <c r="Q540" s="47">
        <f t="shared" ref="Q540" si="526">O540+P540</f>
        <v>0</v>
      </c>
      <c r="S540" s="47">
        <f t="shared" ref="S540" si="527">Q540+R540</f>
        <v>0</v>
      </c>
      <c r="V540" s="47">
        <f>S540+U540</f>
        <v>0</v>
      </c>
      <c r="X540" s="47">
        <f>V540+W540</f>
        <v>0</v>
      </c>
      <c r="Z540" s="47">
        <f>X540+Y540</f>
        <v>0</v>
      </c>
      <c r="AA540" s="86">
        <v>0</v>
      </c>
      <c r="AB540" s="85">
        <v>0</v>
      </c>
    </row>
    <row r="541" spans="1:29" ht="13.5" customHeight="1" x14ac:dyDescent="0.25">
      <c r="A541" s="42" t="s">
        <v>48</v>
      </c>
      <c r="B541" s="40"/>
      <c r="C541" s="35" t="s">
        <v>46</v>
      </c>
      <c r="D541" s="35" t="s">
        <v>20</v>
      </c>
      <c r="E541" s="35"/>
      <c r="F541" s="35"/>
      <c r="G541" s="36"/>
      <c r="H541" s="56"/>
      <c r="I541" s="48">
        <v>0</v>
      </c>
      <c r="J541" s="57"/>
      <c r="K541" s="48"/>
      <c r="L541" s="66"/>
      <c r="M541" s="48"/>
      <c r="N541" s="66"/>
      <c r="O541" s="48">
        <f>O542</f>
        <v>500</v>
      </c>
      <c r="P541" s="66"/>
      <c r="Q541" s="48">
        <f>Q542</f>
        <v>500</v>
      </c>
      <c r="R541" s="66"/>
      <c r="S541" s="48">
        <f>S542</f>
        <v>500</v>
      </c>
      <c r="U541" s="66"/>
      <c r="V541" s="48">
        <f>V542</f>
        <v>500</v>
      </c>
      <c r="W541" s="66"/>
      <c r="X541" s="48">
        <f>X542</f>
        <v>500</v>
      </c>
      <c r="Y541" s="66"/>
      <c r="Z541" s="48">
        <f>Z542</f>
        <v>500</v>
      </c>
      <c r="AA541" s="48">
        <f>AA542</f>
        <v>499.79</v>
      </c>
      <c r="AB541" s="85">
        <f t="shared" si="509"/>
        <v>0.99958000000000002</v>
      </c>
    </row>
    <row r="542" spans="1:29" ht="15" customHeight="1" x14ac:dyDescent="0.25">
      <c r="A542" s="19" t="s">
        <v>534</v>
      </c>
      <c r="B542" s="40"/>
      <c r="C542" s="40" t="s">
        <v>46</v>
      </c>
      <c r="D542" s="40" t="s">
        <v>20</v>
      </c>
      <c r="E542" s="40" t="s">
        <v>535</v>
      </c>
      <c r="F542" s="40"/>
      <c r="G542" s="29"/>
      <c r="I542" s="47">
        <v>0</v>
      </c>
      <c r="K542" s="47"/>
      <c r="M542" s="47"/>
      <c r="O542" s="47">
        <f>O543+O544</f>
        <v>500</v>
      </c>
      <c r="P542" s="30"/>
      <c r="Q542" s="47">
        <f>Q543+Q544</f>
        <v>500</v>
      </c>
      <c r="S542" s="47">
        <f>S543+S544</f>
        <v>500</v>
      </c>
      <c r="V542" s="47">
        <f>V543+V544</f>
        <v>500</v>
      </c>
      <c r="X542" s="47">
        <f>X543+X544</f>
        <v>500</v>
      </c>
      <c r="Z542" s="47">
        <f>Z543+Z544</f>
        <v>500</v>
      </c>
      <c r="AA542" s="47">
        <f>AA543+AA544</f>
        <v>499.79</v>
      </c>
      <c r="AB542" s="85">
        <f t="shared" si="509"/>
        <v>0.99958000000000002</v>
      </c>
    </row>
    <row r="543" spans="1:29" ht="14.25" customHeight="1" x14ac:dyDescent="0.25">
      <c r="A543" s="43" t="s">
        <v>244</v>
      </c>
      <c r="B543" s="40"/>
      <c r="C543" s="40" t="s">
        <v>46</v>
      </c>
      <c r="D543" s="40" t="s">
        <v>20</v>
      </c>
      <c r="E543" s="40" t="s">
        <v>535</v>
      </c>
      <c r="F543" s="40" t="s">
        <v>225</v>
      </c>
      <c r="G543" s="29"/>
      <c r="I543" s="47">
        <v>0</v>
      </c>
      <c r="K543" s="47"/>
      <c r="M543" s="47"/>
      <c r="N543" s="30">
        <v>500</v>
      </c>
      <c r="O543" s="47">
        <f t="shared" ref="O543:O544" si="528">M543+N543</f>
        <v>500</v>
      </c>
      <c r="P543" s="30"/>
      <c r="Q543" s="47">
        <f t="shared" ref="Q543:Q544" si="529">O543+P543</f>
        <v>500</v>
      </c>
      <c r="S543" s="47">
        <f t="shared" ref="S543:S544" si="530">Q543+R543</f>
        <v>500</v>
      </c>
      <c r="V543" s="47">
        <f>S543+U543</f>
        <v>500</v>
      </c>
      <c r="X543" s="47">
        <f>V543+W543</f>
        <v>500</v>
      </c>
      <c r="Z543" s="47">
        <f>X543+Y543</f>
        <v>500</v>
      </c>
      <c r="AA543" s="86">
        <v>499.79</v>
      </c>
      <c r="AB543" s="85">
        <f t="shared" si="509"/>
        <v>0.99958000000000002</v>
      </c>
    </row>
    <row r="544" spans="1:29" ht="33.75" customHeight="1" x14ac:dyDescent="0.25">
      <c r="A544" s="19" t="s">
        <v>524</v>
      </c>
      <c r="B544" s="40"/>
      <c r="C544" s="40" t="s">
        <v>46</v>
      </c>
      <c r="D544" s="40" t="s">
        <v>20</v>
      </c>
      <c r="E544" s="40" t="s">
        <v>535</v>
      </c>
      <c r="F544" s="40" t="s">
        <v>325</v>
      </c>
      <c r="G544" s="29"/>
      <c r="I544" s="47">
        <v>0</v>
      </c>
      <c r="K544" s="47"/>
      <c r="M544" s="47"/>
      <c r="O544" s="47">
        <f t="shared" si="528"/>
        <v>0</v>
      </c>
      <c r="P544" s="30"/>
      <c r="Q544" s="47">
        <f t="shared" si="529"/>
        <v>0</v>
      </c>
      <c r="S544" s="47">
        <f t="shared" si="530"/>
        <v>0</v>
      </c>
      <c r="V544" s="47">
        <f>S544+U544</f>
        <v>0</v>
      </c>
      <c r="X544" s="47">
        <f>V544+W544</f>
        <v>0</v>
      </c>
      <c r="Z544" s="47">
        <f>X544+Y544</f>
        <v>0</v>
      </c>
      <c r="AA544" s="86">
        <v>0</v>
      </c>
      <c r="AB544" s="85">
        <v>0</v>
      </c>
    </row>
    <row r="545" spans="1:29" x14ac:dyDescent="0.25">
      <c r="A545" s="42" t="s">
        <v>55</v>
      </c>
      <c r="B545" s="40"/>
      <c r="C545" s="35" t="s">
        <v>56</v>
      </c>
      <c r="D545" s="35"/>
      <c r="E545" s="35"/>
      <c r="F545" s="35"/>
      <c r="G545" s="36">
        <f>G546</f>
        <v>10000</v>
      </c>
      <c r="H545" s="56"/>
      <c r="I545" s="48">
        <f>I546+I553</f>
        <v>12851</v>
      </c>
      <c r="J545" s="57"/>
      <c r="K545" s="48">
        <f>K546+K553</f>
        <v>12851</v>
      </c>
      <c r="L545" s="66"/>
      <c r="M545" s="48">
        <f>M546+M553</f>
        <v>51332.54</v>
      </c>
      <c r="N545" s="66"/>
      <c r="O545" s="48">
        <f>O546+O553</f>
        <v>55146.600000000006</v>
      </c>
      <c r="P545" s="66"/>
      <c r="Q545" s="48">
        <f>Q546+Q553</f>
        <v>55146.600000000006</v>
      </c>
      <c r="R545" s="66"/>
      <c r="S545" s="48">
        <f>S546+S553</f>
        <v>49146.600000000006</v>
      </c>
      <c r="U545" s="66"/>
      <c r="V545" s="48">
        <f>V546+V553</f>
        <v>49146.600000000006</v>
      </c>
      <c r="W545" s="66"/>
      <c r="X545" s="48">
        <f>X546+X553</f>
        <v>60297.57</v>
      </c>
      <c r="Y545" s="66"/>
      <c r="Z545" s="48">
        <f>Z546+Z553</f>
        <v>181194.99000000002</v>
      </c>
      <c r="AA545" s="48">
        <f>AA546+AA553</f>
        <v>44350.320000000007</v>
      </c>
      <c r="AB545" s="87">
        <f t="shared" si="509"/>
        <v>0.24476570792603042</v>
      </c>
    </row>
    <row r="546" spans="1:29" x14ac:dyDescent="0.25">
      <c r="A546" s="42" t="s">
        <v>57</v>
      </c>
      <c r="B546" s="40"/>
      <c r="C546" s="35" t="s">
        <v>56</v>
      </c>
      <c r="D546" s="35" t="s">
        <v>15</v>
      </c>
      <c r="E546" s="35"/>
      <c r="F546" s="35"/>
      <c r="G546" s="36">
        <f>G551</f>
        <v>10000</v>
      </c>
      <c r="H546" s="56"/>
      <c r="I546" s="48">
        <f>I551</f>
        <v>10000</v>
      </c>
      <c r="J546" s="57"/>
      <c r="K546" s="48">
        <f>K551</f>
        <v>10000</v>
      </c>
      <c r="L546" s="66"/>
      <c r="M546" s="48">
        <f>M551+M549</f>
        <v>25060</v>
      </c>
      <c r="N546" s="66"/>
      <c r="O546" s="48">
        <f>O551+O549</f>
        <v>28874.06</v>
      </c>
      <c r="P546" s="66"/>
      <c r="Q546" s="48">
        <f>Q551+Q549</f>
        <v>28874.06</v>
      </c>
      <c r="R546" s="66"/>
      <c r="S546" s="48">
        <f>S551+S549</f>
        <v>22874.06</v>
      </c>
      <c r="U546" s="66"/>
      <c r="V546" s="48">
        <f>V551+V549</f>
        <v>22874.06</v>
      </c>
      <c r="W546" s="66"/>
      <c r="X546" s="48">
        <f>X551+X549+X547</f>
        <v>34025.03</v>
      </c>
      <c r="Y546" s="66"/>
      <c r="Z546" s="48">
        <f>Z551+Z549+Z547</f>
        <v>154922.45000000001</v>
      </c>
      <c r="AA546" s="48">
        <f>AA551+AA549+AA547</f>
        <v>24296.86</v>
      </c>
      <c r="AB546" s="87">
        <f t="shared" si="509"/>
        <v>0.15683240227610651</v>
      </c>
    </row>
    <row r="547" spans="1:29" ht="31.5" x14ac:dyDescent="0.25">
      <c r="A547" s="19" t="s">
        <v>597</v>
      </c>
      <c r="B547" s="40"/>
      <c r="C547" s="40" t="s">
        <v>56</v>
      </c>
      <c r="D547" s="40" t="s">
        <v>15</v>
      </c>
      <c r="E547" s="40" t="s">
        <v>453</v>
      </c>
      <c r="F547" s="40"/>
      <c r="G547" s="29"/>
      <c r="I547" s="47">
        <v>0</v>
      </c>
      <c r="K547" s="47"/>
      <c r="M547" s="47"/>
      <c r="O547" s="47"/>
      <c r="P547" s="30"/>
      <c r="Q547" s="47"/>
      <c r="S547" s="47"/>
      <c r="V547" s="47"/>
      <c r="X547" s="47">
        <f>X548</f>
        <v>12646.58</v>
      </c>
      <c r="Z547" s="47">
        <f>Z548</f>
        <v>135400</v>
      </c>
      <c r="AA547" s="47">
        <f>AA548</f>
        <v>12538.93</v>
      </c>
      <c r="AB547" s="85">
        <f t="shared" si="509"/>
        <v>9.2606573116691293E-2</v>
      </c>
    </row>
    <row r="548" spans="1:29" ht="31.5" x14ac:dyDescent="0.25">
      <c r="A548" s="19" t="s">
        <v>651</v>
      </c>
      <c r="B548" s="40"/>
      <c r="C548" s="40" t="s">
        <v>56</v>
      </c>
      <c r="D548" s="40" t="s">
        <v>15</v>
      </c>
      <c r="E548" s="40" t="s">
        <v>453</v>
      </c>
      <c r="F548" s="40" t="s">
        <v>325</v>
      </c>
      <c r="G548" s="29"/>
      <c r="I548" s="47">
        <v>0</v>
      </c>
      <c r="K548" s="47"/>
      <c r="M548" s="47"/>
      <c r="O548" s="47"/>
      <c r="P548" s="30"/>
      <c r="Q548" s="47"/>
      <c r="S548" s="47"/>
      <c r="V548" s="47"/>
      <c r="W548" s="30">
        <v>12646.58</v>
      </c>
      <c r="X548" s="47">
        <f>W548+V548</f>
        <v>12646.58</v>
      </c>
      <c r="Z548" s="47">
        <f>Y548+X548+122753.42</f>
        <v>135400</v>
      </c>
      <c r="AA548" s="86">
        <v>12538.93</v>
      </c>
      <c r="AB548" s="85">
        <f t="shared" si="509"/>
        <v>9.2606573116691293E-2</v>
      </c>
    </row>
    <row r="549" spans="1:29" x14ac:dyDescent="0.25">
      <c r="A549" s="19" t="s">
        <v>484</v>
      </c>
      <c r="B549" s="40"/>
      <c r="C549" s="40" t="s">
        <v>56</v>
      </c>
      <c r="D549" s="40" t="s">
        <v>15</v>
      </c>
      <c r="E549" s="40" t="s">
        <v>483</v>
      </c>
      <c r="F549" s="40"/>
      <c r="G549" s="29"/>
      <c r="I549" s="47">
        <v>0</v>
      </c>
      <c r="K549" s="47"/>
      <c r="M549" s="47">
        <f>M550</f>
        <v>15060</v>
      </c>
      <c r="O549" s="47">
        <f>O550</f>
        <v>18874.060000000001</v>
      </c>
      <c r="P549" s="30"/>
      <c r="Q549" s="47">
        <f>Q550</f>
        <v>18874.060000000001</v>
      </c>
      <c r="S549" s="47">
        <f>S550</f>
        <v>12874.060000000001</v>
      </c>
      <c r="V549" s="47">
        <f>V550</f>
        <v>12874.060000000001</v>
      </c>
      <c r="X549" s="47">
        <f>X550</f>
        <v>12874.060000000001</v>
      </c>
      <c r="Z549" s="47">
        <f>Z550</f>
        <v>12874.060000000001</v>
      </c>
      <c r="AA549" s="47">
        <f>AA550</f>
        <v>10440.34</v>
      </c>
      <c r="AB549" s="85">
        <f t="shared" si="509"/>
        <v>0.81095940208450168</v>
      </c>
      <c r="AC549" s="50">
        <v>122753.42</v>
      </c>
    </row>
    <row r="550" spans="1:29" ht="31.5" x14ac:dyDescent="0.25">
      <c r="A550" s="19" t="s">
        <v>469</v>
      </c>
      <c r="B550" s="40"/>
      <c r="C550" s="40" t="s">
        <v>56</v>
      </c>
      <c r="D550" s="40" t="s">
        <v>15</v>
      </c>
      <c r="E550" s="40" t="s">
        <v>483</v>
      </c>
      <c r="F550" s="40" t="s">
        <v>325</v>
      </c>
      <c r="G550" s="29"/>
      <c r="I550" s="47">
        <v>0</v>
      </c>
      <c r="K550" s="47"/>
      <c r="L550" s="30">
        <v>15060</v>
      </c>
      <c r="M550" s="47">
        <f>L550+K550</f>
        <v>15060</v>
      </c>
      <c r="N550" s="30">
        <v>3814.06</v>
      </c>
      <c r="O550" s="47">
        <f>N550+M550</f>
        <v>18874.060000000001</v>
      </c>
      <c r="P550" s="30"/>
      <c r="Q550" s="47">
        <f>P550+O550</f>
        <v>18874.060000000001</v>
      </c>
      <c r="R550" s="30">
        <v>-6000</v>
      </c>
      <c r="S550" s="47">
        <f>R550+Q550</f>
        <v>12874.060000000001</v>
      </c>
      <c r="V550" s="47">
        <f>U550+S550</f>
        <v>12874.060000000001</v>
      </c>
      <c r="X550" s="47">
        <f>W550+V550</f>
        <v>12874.060000000001</v>
      </c>
      <c r="Z550" s="47">
        <f>Y550+X550</f>
        <v>12874.060000000001</v>
      </c>
      <c r="AA550" s="86">
        <v>10440.34</v>
      </c>
      <c r="AB550" s="85">
        <f t="shared" si="509"/>
        <v>0.81095940208450168</v>
      </c>
    </row>
    <row r="551" spans="1:29" ht="24" customHeight="1" x14ac:dyDescent="0.25">
      <c r="A551" s="41" t="s">
        <v>332</v>
      </c>
      <c r="B551" s="40"/>
      <c r="C551" s="40" t="s">
        <v>56</v>
      </c>
      <c r="D551" s="40" t="s">
        <v>15</v>
      </c>
      <c r="E551" s="40" t="s">
        <v>384</v>
      </c>
      <c r="F551" s="40"/>
      <c r="G551" s="29">
        <f>G552</f>
        <v>10000</v>
      </c>
      <c r="I551" s="47">
        <f>I552</f>
        <v>10000</v>
      </c>
      <c r="K551" s="47">
        <f>K552</f>
        <v>10000</v>
      </c>
      <c r="M551" s="47">
        <f>M552</f>
        <v>10000</v>
      </c>
      <c r="O551" s="47">
        <f>O552</f>
        <v>10000</v>
      </c>
      <c r="P551" s="30"/>
      <c r="Q551" s="47">
        <f>Q552</f>
        <v>10000</v>
      </c>
      <c r="S551" s="47">
        <f>S552</f>
        <v>10000</v>
      </c>
      <c r="V551" s="47">
        <f>V552</f>
        <v>10000</v>
      </c>
      <c r="X551" s="47">
        <f>X552</f>
        <v>8504.39</v>
      </c>
      <c r="Z551" s="47">
        <f>Z552</f>
        <v>6648.3899999999994</v>
      </c>
      <c r="AA551" s="47">
        <f>AA552</f>
        <v>1317.59</v>
      </c>
      <c r="AB551" s="85">
        <f t="shared" si="509"/>
        <v>0.19818181544704808</v>
      </c>
    </row>
    <row r="552" spans="1:29" ht="30.75" customHeight="1" x14ac:dyDescent="0.25">
      <c r="A552" s="19" t="s">
        <v>329</v>
      </c>
      <c r="B552" s="40"/>
      <c r="C552" s="40" t="s">
        <v>56</v>
      </c>
      <c r="D552" s="40" t="s">
        <v>15</v>
      </c>
      <c r="E552" s="40" t="s">
        <v>384</v>
      </c>
      <c r="F552" s="40" t="s">
        <v>325</v>
      </c>
      <c r="G552" s="29">
        <v>10000</v>
      </c>
      <c r="I552" s="47">
        <f t="shared" ref="I552:K557" si="531">G552+H552</f>
        <v>10000</v>
      </c>
      <c r="K552" s="47">
        <f t="shared" si="531"/>
        <v>10000</v>
      </c>
      <c r="M552" s="47">
        <f t="shared" ref="M552" si="532">K552+L552</f>
        <v>10000</v>
      </c>
      <c r="O552" s="47">
        <f t="shared" ref="O552" si="533">M552+N552</f>
        <v>10000</v>
      </c>
      <c r="P552" s="30"/>
      <c r="Q552" s="47">
        <f t="shared" ref="Q552" si="534">O552+P552</f>
        <v>10000</v>
      </c>
      <c r="S552" s="47">
        <f t="shared" ref="S552" si="535">Q552+R552</f>
        <v>10000</v>
      </c>
      <c r="V552" s="47">
        <f>S552+U552</f>
        <v>10000</v>
      </c>
      <c r="W552" s="30">
        <f>-895.61-600</f>
        <v>-1495.6100000000001</v>
      </c>
      <c r="X552" s="47">
        <f>V552+W552</f>
        <v>8504.39</v>
      </c>
      <c r="Y552" s="30">
        <v>-856</v>
      </c>
      <c r="Z552" s="47">
        <f>X552+Y552-1000</f>
        <v>6648.3899999999994</v>
      </c>
      <c r="AA552" s="86">
        <v>1317.59</v>
      </c>
      <c r="AB552" s="85">
        <f t="shared" si="509"/>
        <v>0.19818181544704808</v>
      </c>
      <c r="AC552" s="50">
        <v>-1000</v>
      </c>
    </row>
    <row r="553" spans="1:29" x14ac:dyDescent="0.25">
      <c r="A553" s="10" t="s">
        <v>80</v>
      </c>
      <c r="B553" s="40"/>
      <c r="C553" s="35" t="s">
        <v>56</v>
      </c>
      <c r="D553" s="35" t="s">
        <v>17</v>
      </c>
      <c r="E553" s="35"/>
      <c r="F553" s="35"/>
      <c r="G553" s="36"/>
      <c r="H553" s="56"/>
      <c r="I553" s="48">
        <f>I556+I557</f>
        <v>2851</v>
      </c>
      <c r="J553" s="57"/>
      <c r="K553" s="48">
        <f>K556+K557</f>
        <v>2851</v>
      </c>
      <c r="L553" s="66"/>
      <c r="M553" s="48">
        <f>M556+M557+M554</f>
        <v>26272.54</v>
      </c>
      <c r="N553" s="66"/>
      <c r="O553" s="48">
        <f>O556+O557+O554</f>
        <v>26272.54</v>
      </c>
      <c r="P553" s="66"/>
      <c r="Q553" s="48">
        <f>Q556+Q557+Q554</f>
        <v>26272.54</v>
      </c>
      <c r="R553" s="66"/>
      <c r="S553" s="48">
        <f>S556+S557+S554</f>
        <v>26272.54</v>
      </c>
      <c r="U553" s="66"/>
      <c r="V553" s="48">
        <f>V556+V557+V554</f>
        <v>26272.54</v>
      </c>
      <c r="W553" s="66"/>
      <c r="X553" s="48">
        <f>X556+X557+X554</f>
        <v>26272.54</v>
      </c>
      <c r="Y553" s="66"/>
      <c r="Z553" s="48">
        <f>Z556+Z557+Z554</f>
        <v>26272.54</v>
      </c>
      <c r="AA553" s="48">
        <f>AA556+AA557+AA554</f>
        <v>20053.460000000003</v>
      </c>
      <c r="AB553" s="87">
        <f t="shared" si="509"/>
        <v>0.76328592515226934</v>
      </c>
    </row>
    <row r="554" spans="1:29" ht="31.5" x14ac:dyDescent="0.25">
      <c r="A554" s="68" t="s">
        <v>486</v>
      </c>
      <c r="B554" s="40"/>
      <c r="C554" s="40" t="s">
        <v>56</v>
      </c>
      <c r="D554" s="40" t="s">
        <v>17</v>
      </c>
      <c r="E554" s="40" t="s">
        <v>485</v>
      </c>
      <c r="F554" s="40"/>
      <c r="G554" s="29"/>
      <c r="I554" s="47">
        <v>0</v>
      </c>
      <c r="K554" s="47"/>
      <c r="M554" s="47">
        <f>M555</f>
        <v>23421.54</v>
      </c>
      <c r="O554" s="47">
        <f>O555</f>
        <v>23421.54</v>
      </c>
      <c r="P554" s="30"/>
      <c r="Q554" s="47">
        <f>Q555</f>
        <v>23421.54</v>
      </c>
      <c r="S554" s="47">
        <f>S555</f>
        <v>23421.54</v>
      </c>
      <c r="V554" s="47">
        <f>V555</f>
        <v>23421.54</v>
      </c>
      <c r="X554" s="47">
        <f>X555</f>
        <v>23421.54</v>
      </c>
      <c r="Z554" s="47">
        <f>Z555</f>
        <v>23421.54</v>
      </c>
      <c r="AA554" s="47">
        <f>AA555</f>
        <v>17613.900000000001</v>
      </c>
      <c r="AB554" s="85">
        <f t="shared" si="509"/>
        <v>0.75203850814250472</v>
      </c>
    </row>
    <row r="555" spans="1:29" ht="31.5" x14ac:dyDescent="0.25">
      <c r="A555" s="19" t="s">
        <v>469</v>
      </c>
      <c r="B555" s="40"/>
      <c r="C555" s="40" t="s">
        <v>56</v>
      </c>
      <c r="D555" s="40" t="s">
        <v>17</v>
      </c>
      <c r="E555" s="40" t="s">
        <v>485</v>
      </c>
      <c r="F555" s="40" t="s">
        <v>325</v>
      </c>
      <c r="G555" s="29"/>
      <c r="I555" s="47">
        <v>0</v>
      </c>
      <c r="K555" s="47"/>
      <c r="L555" s="30">
        <v>23421.54</v>
      </c>
      <c r="M555" s="47">
        <f t="shared" ref="M555" si="536">K555+L555</f>
        <v>23421.54</v>
      </c>
      <c r="O555" s="47">
        <f t="shared" ref="O555:O557" si="537">M555+N555</f>
        <v>23421.54</v>
      </c>
      <c r="P555" s="30"/>
      <c r="Q555" s="47">
        <f t="shared" ref="Q555:Q557" si="538">O555+P555</f>
        <v>23421.54</v>
      </c>
      <c r="S555" s="47">
        <f t="shared" ref="S555:S557" si="539">Q555+R555</f>
        <v>23421.54</v>
      </c>
      <c r="V555" s="47">
        <f>S555+U555</f>
        <v>23421.54</v>
      </c>
      <c r="X555" s="47">
        <f>V555+W555</f>
        <v>23421.54</v>
      </c>
      <c r="Z555" s="47">
        <f>X555+Y555</f>
        <v>23421.54</v>
      </c>
      <c r="AA555" s="47">
        <v>17613.900000000001</v>
      </c>
      <c r="AB555" s="85">
        <f t="shared" si="509"/>
        <v>0.75203850814250472</v>
      </c>
    </row>
    <row r="556" spans="1:29" x14ac:dyDescent="0.25">
      <c r="A556" s="43" t="s">
        <v>244</v>
      </c>
      <c r="B556" s="40"/>
      <c r="C556" s="40" t="s">
        <v>56</v>
      </c>
      <c r="D556" s="40" t="s">
        <v>17</v>
      </c>
      <c r="E556" s="40" t="s">
        <v>377</v>
      </c>
      <c r="F556" s="40" t="s">
        <v>225</v>
      </c>
      <c r="G556" s="29"/>
      <c r="H556" s="52">
        <v>951</v>
      </c>
      <c r="I556" s="47">
        <f t="shared" si="531"/>
        <v>951</v>
      </c>
      <c r="K556" s="47">
        <f t="shared" si="531"/>
        <v>951</v>
      </c>
      <c r="M556" s="47">
        <f t="shared" ref="M556:M557" si="540">K556+L556</f>
        <v>951</v>
      </c>
      <c r="O556" s="47">
        <f t="shared" si="537"/>
        <v>951</v>
      </c>
      <c r="P556" s="30"/>
      <c r="Q556" s="47">
        <f t="shared" si="538"/>
        <v>951</v>
      </c>
      <c r="S556" s="47">
        <f t="shared" si="539"/>
        <v>951</v>
      </c>
      <c r="V556" s="47">
        <f>S556+U556</f>
        <v>951</v>
      </c>
      <c r="X556" s="47">
        <f>V556+W556</f>
        <v>951</v>
      </c>
      <c r="Z556" s="47">
        <f>X556+Y556-475.5</f>
        <v>475.5</v>
      </c>
      <c r="AA556" s="86">
        <v>449.09</v>
      </c>
      <c r="AB556" s="85">
        <f t="shared" si="509"/>
        <v>0.94445846477392215</v>
      </c>
    </row>
    <row r="557" spans="1:29" ht="15" customHeight="1" x14ac:dyDescent="0.25">
      <c r="A557" s="19" t="s">
        <v>329</v>
      </c>
      <c r="B557" s="40"/>
      <c r="C557" s="40" t="s">
        <v>56</v>
      </c>
      <c r="D557" s="40" t="s">
        <v>17</v>
      </c>
      <c r="E557" s="40" t="s">
        <v>377</v>
      </c>
      <c r="F557" s="40" t="s">
        <v>325</v>
      </c>
      <c r="G557" s="29"/>
      <c r="H557" s="52">
        <v>1900</v>
      </c>
      <c r="I557" s="47">
        <f t="shared" si="531"/>
        <v>1900</v>
      </c>
      <c r="K557" s="47">
        <f t="shared" si="531"/>
        <v>1900</v>
      </c>
      <c r="M557" s="47">
        <f t="shared" si="540"/>
        <v>1900</v>
      </c>
      <c r="O557" s="47">
        <f t="shared" si="537"/>
        <v>1900</v>
      </c>
      <c r="P557" s="30"/>
      <c r="Q557" s="47">
        <f t="shared" si="538"/>
        <v>1900</v>
      </c>
      <c r="S557" s="47">
        <f t="shared" si="539"/>
        <v>1900</v>
      </c>
      <c r="V557" s="47">
        <f>S557+U557</f>
        <v>1900</v>
      </c>
      <c r="X557" s="47">
        <f>V557+W557</f>
        <v>1900</v>
      </c>
      <c r="Z557" s="47">
        <f>X557+Y557+475.5</f>
        <v>2375.5</v>
      </c>
      <c r="AA557" s="86">
        <v>1990.47</v>
      </c>
      <c r="AB557" s="85">
        <f t="shared" si="509"/>
        <v>0.83791622816249212</v>
      </c>
    </row>
    <row r="558" spans="1:29" ht="15" customHeight="1" x14ac:dyDescent="0.25">
      <c r="A558" s="82" t="s">
        <v>303</v>
      </c>
      <c r="B558" s="40"/>
      <c r="C558" s="35" t="s">
        <v>63</v>
      </c>
      <c r="D558" s="35"/>
      <c r="E558" s="35"/>
      <c r="F558" s="35"/>
      <c r="G558" s="36"/>
      <c r="H558" s="56"/>
      <c r="I558" s="48">
        <v>0</v>
      </c>
      <c r="J558" s="57"/>
      <c r="K558" s="48"/>
      <c r="L558" s="66"/>
      <c r="M558" s="48"/>
      <c r="N558" s="66"/>
      <c r="O558" s="48"/>
      <c r="P558" s="66"/>
      <c r="Q558" s="48"/>
      <c r="R558" s="66"/>
      <c r="S558" s="48"/>
      <c r="T558" s="83"/>
      <c r="U558" s="66"/>
      <c r="V558" s="48"/>
      <c r="W558" s="66"/>
      <c r="X558" s="48">
        <f>X559</f>
        <v>42.95</v>
      </c>
      <c r="Y558" s="66"/>
      <c r="Z558" s="48">
        <f t="shared" ref="Z558:AA560" si="541">Z559</f>
        <v>42.95</v>
      </c>
      <c r="AA558" s="48">
        <f t="shared" si="541"/>
        <v>42.94</v>
      </c>
      <c r="AB558" s="87">
        <f t="shared" si="509"/>
        <v>0.99976717112921987</v>
      </c>
    </row>
    <row r="559" spans="1:29" ht="15" customHeight="1" x14ac:dyDescent="0.25">
      <c r="A559" s="82" t="s">
        <v>208</v>
      </c>
      <c r="B559" s="40"/>
      <c r="C559" s="40" t="s">
        <v>63</v>
      </c>
      <c r="D559" s="40" t="s">
        <v>63</v>
      </c>
      <c r="E559" s="40"/>
      <c r="F559" s="40"/>
      <c r="G559" s="29"/>
      <c r="I559" s="47">
        <v>0</v>
      </c>
      <c r="K559" s="47"/>
      <c r="M559" s="47"/>
      <c r="O559" s="47"/>
      <c r="P559" s="30"/>
      <c r="Q559" s="47"/>
      <c r="S559" s="47"/>
      <c r="V559" s="47"/>
      <c r="X559" s="47">
        <f>X560</f>
        <v>42.95</v>
      </c>
      <c r="Z559" s="47">
        <f t="shared" si="541"/>
        <v>42.95</v>
      </c>
      <c r="AA559" s="47">
        <f t="shared" si="541"/>
        <v>42.94</v>
      </c>
      <c r="AB559" s="85">
        <f t="shared" si="509"/>
        <v>0.99976717112921987</v>
      </c>
    </row>
    <row r="560" spans="1:29" ht="46.5" customHeight="1" x14ac:dyDescent="0.25">
      <c r="A560" s="19" t="s">
        <v>653</v>
      </c>
      <c r="B560" s="40"/>
      <c r="C560" s="40" t="s">
        <v>63</v>
      </c>
      <c r="D560" s="40" t="s">
        <v>63</v>
      </c>
      <c r="E560" s="40" t="s">
        <v>652</v>
      </c>
      <c r="F560" s="40"/>
      <c r="G560" s="29"/>
      <c r="I560" s="47">
        <v>0</v>
      </c>
      <c r="K560" s="47"/>
      <c r="M560" s="47"/>
      <c r="O560" s="47"/>
      <c r="P560" s="30"/>
      <c r="Q560" s="47"/>
      <c r="S560" s="47"/>
      <c r="V560" s="47"/>
      <c r="X560" s="47">
        <f>X561</f>
        <v>42.95</v>
      </c>
      <c r="Z560" s="47">
        <f t="shared" si="541"/>
        <v>42.95</v>
      </c>
      <c r="AA560" s="47">
        <f t="shared" si="541"/>
        <v>42.94</v>
      </c>
      <c r="AB560" s="85">
        <f t="shared" si="509"/>
        <v>0.99976717112921987</v>
      </c>
    </row>
    <row r="561" spans="1:28" ht="15" customHeight="1" x14ac:dyDescent="0.25">
      <c r="A561" s="43" t="s">
        <v>244</v>
      </c>
      <c r="B561" s="40"/>
      <c r="C561" s="40" t="s">
        <v>63</v>
      </c>
      <c r="D561" s="40" t="s">
        <v>63</v>
      </c>
      <c r="E561" s="40" t="s">
        <v>652</v>
      </c>
      <c r="F561" s="40" t="s">
        <v>225</v>
      </c>
      <c r="G561" s="29"/>
      <c r="I561" s="47">
        <v>0</v>
      </c>
      <c r="K561" s="47"/>
      <c r="M561" s="47"/>
      <c r="O561" s="47"/>
      <c r="P561" s="30"/>
      <c r="Q561" s="47"/>
      <c r="S561" s="47"/>
      <c r="V561" s="47"/>
      <c r="W561" s="30">
        <v>42.95</v>
      </c>
      <c r="X561" s="47">
        <f>W561+V561</f>
        <v>42.95</v>
      </c>
      <c r="Z561" s="47">
        <f>Y561+X561</f>
        <v>42.95</v>
      </c>
      <c r="AA561" s="86">
        <v>42.94</v>
      </c>
      <c r="AB561" s="85">
        <f t="shared" si="509"/>
        <v>0.99976717112921987</v>
      </c>
    </row>
    <row r="562" spans="1:28" ht="15" customHeight="1" x14ac:dyDescent="0.25">
      <c r="A562" s="37" t="s">
        <v>343</v>
      </c>
      <c r="B562" s="35" t="s">
        <v>7</v>
      </c>
      <c r="C562" s="35"/>
      <c r="D562" s="35"/>
      <c r="E562" s="35"/>
      <c r="F562" s="35"/>
      <c r="G562" s="36">
        <f>G567</f>
        <v>1420</v>
      </c>
      <c r="I562" s="48">
        <f>I567</f>
        <v>1420</v>
      </c>
      <c r="K562" s="48">
        <f>K567</f>
        <v>1420</v>
      </c>
      <c r="M562" s="48">
        <f>M567</f>
        <v>1420</v>
      </c>
      <c r="O562" s="48">
        <f>O567</f>
        <v>1420</v>
      </c>
      <c r="P562" s="30"/>
      <c r="Q562" s="48">
        <f>Q567</f>
        <v>1420</v>
      </c>
      <c r="S562" s="48">
        <f>S567</f>
        <v>1420</v>
      </c>
      <c r="V562" s="48">
        <f>V567</f>
        <v>1420</v>
      </c>
      <c r="X562" s="48">
        <f>X567+X563</f>
        <v>1424.1</v>
      </c>
      <c r="Z562" s="48">
        <f>Z567+Z563</f>
        <v>1424.1</v>
      </c>
      <c r="AA562" s="48">
        <f>AA567+AA563</f>
        <v>1220.5999999999999</v>
      </c>
      <c r="AB562" s="87">
        <f t="shared" si="509"/>
        <v>0.8571027315497507</v>
      </c>
    </row>
    <row r="563" spans="1:28" ht="15" customHeight="1" x14ac:dyDescent="0.25">
      <c r="A563" s="42" t="s">
        <v>654</v>
      </c>
      <c r="B563" s="35"/>
      <c r="C563" s="35" t="s">
        <v>24</v>
      </c>
      <c r="D563" s="35"/>
      <c r="E563" s="35"/>
      <c r="F563" s="35"/>
      <c r="G563" s="36"/>
      <c r="I563" s="48">
        <v>0</v>
      </c>
      <c r="K563" s="48"/>
      <c r="M563" s="48"/>
      <c r="O563" s="48"/>
      <c r="P563" s="30"/>
      <c r="Q563" s="48"/>
      <c r="S563" s="48"/>
      <c r="V563" s="48"/>
      <c r="X563" s="48">
        <f>X564</f>
        <v>4.0999999999999996</v>
      </c>
      <c r="Z563" s="48">
        <f t="shared" ref="Z563:AA565" si="542">Z564</f>
        <v>4.0999999999999996</v>
      </c>
      <c r="AA563" s="48">
        <f t="shared" si="542"/>
        <v>4.0999999999999996</v>
      </c>
      <c r="AB563" s="87">
        <f t="shared" si="509"/>
        <v>1</v>
      </c>
    </row>
    <row r="564" spans="1:28" ht="15" customHeight="1" x14ac:dyDescent="0.25">
      <c r="A564" s="42" t="s">
        <v>180</v>
      </c>
      <c r="B564" s="40"/>
      <c r="C564" s="40" t="s">
        <v>24</v>
      </c>
      <c r="D564" s="40" t="s">
        <v>17</v>
      </c>
      <c r="E564" s="40"/>
      <c r="F564" s="40"/>
      <c r="G564" s="29"/>
      <c r="I564" s="47">
        <v>0</v>
      </c>
      <c r="K564" s="47"/>
      <c r="M564" s="47"/>
      <c r="O564" s="47"/>
      <c r="P564" s="30"/>
      <c r="Q564" s="47"/>
      <c r="S564" s="47"/>
      <c r="V564" s="47"/>
      <c r="X564" s="47">
        <f>X565</f>
        <v>4.0999999999999996</v>
      </c>
      <c r="Z564" s="47">
        <f t="shared" si="542"/>
        <v>4.0999999999999996</v>
      </c>
      <c r="AA564" s="47">
        <f t="shared" si="542"/>
        <v>4.0999999999999996</v>
      </c>
      <c r="AB564" s="85">
        <f t="shared" si="509"/>
        <v>1</v>
      </c>
    </row>
    <row r="565" spans="1:28" ht="15" customHeight="1" x14ac:dyDescent="0.25">
      <c r="A565" s="19" t="s">
        <v>338</v>
      </c>
      <c r="B565" s="40"/>
      <c r="C565" s="40" t="s">
        <v>24</v>
      </c>
      <c r="D565" s="40" t="s">
        <v>17</v>
      </c>
      <c r="E565" s="40" t="s">
        <v>339</v>
      </c>
      <c r="F565" s="40"/>
      <c r="G565" s="29"/>
      <c r="I565" s="47">
        <v>0</v>
      </c>
      <c r="K565" s="47"/>
      <c r="M565" s="47"/>
      <c r="O565" s="47"/>
      <c r="P565" s="30"/>
      <c r="Q565" s="47"/>
      <c r="S565" s="47"/>
      <c r="V565" s="47"/>
      <c r="X565" s="47">
        <f>X566</f>
        <v>4.0999999999999996</v>
      </c>
      <c r="Z565" s="47">
        <f t="shared" si="542"/>
        <v>4.0999999999999996</v>
      </c>
      <c r="AA565" s="47">
        <f t="shared" si="542"/>
        <v>4.0999999999999996</v>
      </c>
      <c r="AB565" s="85">
        <f t="shared" si="509"/>
        <v>1</v>
      </c>
    </row>
    <row r="566" spans="1:28" ht="15" customHeight="1" x14ac:dyDescent="0.25">
      <c r="A566" s="43" t="s">
        <v>244</v>
      </c>
      <c r="B566" s="40"/>
      <c r="C566" s="40" t="s">
        <v>24</v>
      </c>
      <c r="D566" s="40" t="s">
        <v>17</v>
      </c>
      <c r="E566" s="40" t="s">
        <v>339</v>
      </c>
      <c r="F566" s="40" t="s">
        <v>225</v>
      </c>
      <c r="G566" s="29"/>
      <c r="I566" s="47">
        <v>0</v>
      </c>
      <c r="K566" s="47"/>
      <c r="M566" s="47"/>
      <c r="O566" s="47"/>
      <c r="P566" s="30"/>
      <c r="Q566" s="47"/>
      <c r="S566" s="47"/>
      <c r="V566" s="47"/>
      <c r="W566" s="30">
        <v>4.0999999999999996</v>
      </c>
      <c r="X566" s="47">
        <f>V566+W566</f>
        <v>4.0999999999999996</v>
      </c>
      <c r="Z566" s="47">
        <f>X566+Y566</f>
        <v>4.0999999999999996</v>
      </c>
      <c r="AA566" s="86">
        <v>4.0999999999999996</v>
      </c>
      <c r="AB566" s="85">
        <f t="shared" si="509"/>
        <v>1</v>
      </c>
    </row>
    <row r="567" spans="1:28" x14ac:dyDescent="0.25">
      <c r="A567" s="42" t="s">
        <v>134</v>
      </c>
      <c r="B567" s="35"/>
      <c r="C567" s="35" t="s">
        <v>15</v>
      </c>
      <c r="D567" s="35"/>
      <c r="E567" s="40"/>
      <c r="F567" s="40"/>
      <c r="G567" s="29">
        <f>G568</f>
        <v>1420</v>
      </c>
      <c r="I567" s="47">
        <f>I568</f>
        <v>1420</v>
      </c>
      <c r="K567" s="47">
        <f>K568</f>
        <v>1420</v>
      </c>
      <c r="M567" s="47">
        <f>M568</f>
        <v>1420</v>
      </c>
      <c r="O567" s="47">
        <f>O568</f>
        <v>1420</v>
      </c>
      <c r="P567" s="30"/>
      <c r="Q567" s="47">
        <f>Q568</f>
        <v>1420</v>
      </c>
      <c r="S567" s="47">
        <f>S568</f>
        <v>1420</v>
      </c>
      <c r="V567" s="47">
        <f>V568</f>
        <v>1420</v>
      </c>
      <c r="X567" s="47">
        <f>X568</f>
        <v>1420</v>
      </c>
      <c r="Z567" s="47">
        <f>Z568</f>
        <v>1420</v>
      </c>
      <c r="AA567" s="47">
        <f>AA568</f>
        <v>1216.5</v>
      </c>
      <c r="AB567" s="85">
        <f t="shared" si="509"/>
        <v>0.85669014084507045</v>
      </c>
    </row>
    <row r="568" spans="1:28" x14ac:dyDescent="0.25">
      <c r="A568" s="42" t="s">
        <v>29</v>
      </c>
      <c r="B568" s="35"/>
      <c r="C568" s="35" t="s">
        <v>15</v>
      </c>
      <c r="D568" s="35" t="s">
        <v>195</v>
      </c>
      <c r="E568" s="40"/>
      <c r="F568" s="40"/>
      <c r="G568" s="29">
        <f>G569</f>
        <v>1420</v>
      </c>
      <c r="I568" s="47">
        <f>I569</f>
        <v>1420</v>
      </c>
      <c r="K568" s="47">
        <f>K569</f>
        <v>1420</v>
      </c>
      <c r="M568" s="47">
        <f>M569</f>
        <v>1420</v>
      </c>
      <c r="O568" s="47">
        <f>O569</f>
        <v>1420</v>
      </c>
      <c r="P568" s="30"/>
      <c r="Q568" s="47">
        <f>Q569</f>
        <v>1420</v>
      </c>
      <c r="S568" s="47">
        <f>S569</f>
        <v>1420</v>
      </c>
      <c r="V568" s="47">
        <f>V569</f>
        <v>1420</v>
      </c>
      <c r="X568" s="47">
        <f>X569</f>
        <v>1420</v>
      </c>
      <c r="Z568" s="47">
        <f>Z569</f>
        <v>1420</v>
      </c>
      <c r="AA568" s="47">
        <f>AA569</f>
        <v>1216.5</v>
      </c>
      <c r="AB568" s="85">
        <f t="shared" si="509"/>
        <v>0.85669014084507045</v>
      </c>
    </row>
    <row r="569" spans="1:28" x14ac:dyDescent="0.25">
      <c r="A569" s="41" t="s">
        <v>52</v>
      </c>
      <c r="B569" s="40"/>
      <c r="C569" s="40" t="s">
        <v>15</v>
      </c>
      <c r="D569" s="40" t="s">
        <v>195</v>
      </c>
      <c r="E569" s="40" t="s">
        <v>317</v>
      </c>
      <c r="F569" s="40"/>
      <c r="G569" s="29">
        <f>G570+G571+G572</f>
        <v>1420</v>
      </c>
      <c r="I569" s="47">
        <f>I570+I571+I572</f>
        <v>1420</v>
      </c>
      <c r="K569" s="47">
        <f>K570+K571+K572</f>
        <v>1420</v>
      </c>
      <c r="M569" s="47">
        <f>M570+M571+M572</f>
        <v>1420</v>
      </c>
      <c r="O569" s="47">
        <f>O570+O571+O572</f>
        <v>1420</v>
      </c>
      <c r="P569" s="30"/>
      <c r="Q569" s="47">
        <f>Q570+Q571+Q572</f>
        <v>1420</v>
      </c>
      <c r="S569" s="47">
        <f>S570+S571+S572</f>
        <v>1420</v>
      </c>
      <c r="V569" s="47">
        <f>V570+V571+V572</f>
        <v>1420</v>
      </c>
      <c r="X569" s="47">
        <f>X570+X571+X572</f>
        <v>1420</v>
      </c>
      <c r="Z569" s="47">
        <f>Z570+Z571+Z572+Z573+Z574</f>
        <v>1420</v>
      </c>
      <c r="AA569" s="47">
        <f>AA570+AA571+AA572+AA573+AA574</f>
        <v>1216.5</v>
      </c>
      <c r="AB569" s="85">
        <f t="shared" si="509"/>
        <v>0.85669014084507045</v>
      </c>
    </row>
    <row r="570" spans="1:28" x14ac:dyDescent="0.25">
      <c r="A570" s="19" t="s">
        <v>217</v>
      </c>
      <c r="B570" s="40"/>
      <c r="C570" s="40" t="s">
        <v>15</v>
      </c>
      <c r="D570" s="40" t="s">
        <v>195</v>
      </c>
      <c r="E570" s="40" t="s">
        <v>317</v>
      </c>
      <c r="F570" s="40" t="s">
        <v>218</v>
      </c>
      <c r="G570" s="29">
        <v>1007.7</v>
      </c>
      <c r="I570" s="47">
        <f t="shared" ref="I570:K572" si="543">G570+H570</f>
        <v>1007.7</v>
      </c>
      <c r="K570" s="47">
        <f t="shared" si="543"/>
        <v>1007.7</v>
      </c>
      <c r="M570" s="47">
        <f t="shared" ref="M570:M572" si="544">K570+L570</f>
        <v>1007.7</v>
      </c>
      <c r="O570" s="47">
        <f t="shared" ref="O570:O572" si="545">M570+N570</f>
        <v>1007.7</v>
      </c>
      <c r="P570" s="30"/>
      <c r="Q570" s="47">
        <f t="shared" ref="Q570:Q572" si="546">O570+P570</f>
        <v>1007.7</v>
      </c>
      <c r="S570" s="47">
        <f t="shared" ref="S570:S572" si="547">Q570+R570</f>
        <v>1007.7</v>
      </c>
      <c r="V570" s="47">
        <f>S570+U570</f>
        <v>1007.7</v>
      </c>
      <c r="X570" s="47">
        <f>V570+W570</f>
        <v>1007.7</v>
      </c>
      <c r="Z570" s="47">
        <f>X570+Y570+61.1</f>
        <v>1068.8</v>
      </c>
      <c r="AA570" s="86">
        <v>1055.3</v>
      </c>
      <c r="AB570" s="85">
        <f t="shared" si="509"/>
        <v>0.98736901197604787</v>
      </c>
    </row>
    <row r="571" spans="1:28" ht="16.5" customHeight="1" x14ac:dyDescent="0.25">
      <c r="A571" s="19" t="s">
        <v>223</v>
      </c>
      <c r="B571" s="40"/>
      <c r="C571" s="40" t="s">
        <v>15</v>
      </c>
      <c r="D571" s="40" t="s">
        <v>195</v>
      </c>
      <c r="E571" s="40" t="s">
        <v>317</v>
      </c>
      <c r="F571" s="40" t="s">
        <v>224</v>
      </c>
      <c r="G571" s="29">
        <v>193.3</v>
      </c>
      <c r="I571" s="47">
        <f t="shared" si="543"/>
        <v>193.3</v>
      </c>
      <c r="K571" s="47">
        <f t="shared" si="543"/>
        <v>193.3</v>
      </c>
      <c r="M571" s="47">
        <f t="shared" si="544"/>
        <v>193.3</v>
      </c>
      <c r="N571" s="30">
        <v>45.4</v>
      </c>
      <c r="O571" s="47">
        <f t="shared" si="545"/>
        <v>238.70000000000002</v>
      </c>
      <c r="P571" s="30"/>
      <c r="Q571" s="47">
        <f t="shared" si="546"/>
        <v>238.70000000000002</v>
      </c>
      <c r="S571" s="47">
        <f t="shared" si="547"/>
        <v>238.70000000000002</v>
      </c>
      <c r="V571" s="47">
        <f>S571+U571</f>
        <v>238.70000000000002</v>
      </c>
      <c r="X571" s="47">
        <f>V571+W571</f>
        <v>238.70000000000002</v>
      </c>
      <c r="Z571" s="47">
        <f>X571+Y571-5</f>
        <v>233.70000000000002</v>
      </c>
      <c r="AA571" s="86">
        <v>120.5</v>
      </c>
      <c r="AB571" s="85">
        <f t="shared" si="509"/>
        <v>0.51561831407787762</v>
      </c>
    </row>
    <row r="572" spans="1:28" x14ac:dyDescent="0.25">
      <c r="A572" s="43" t="s">
        <v>244</v>
      </c>
      <c r="B572" s="40"/>
      <c r="C572" s="40" t="s">
        <v>15</v>
      </c>
      <c r="D572" s="40" t="s">
        <v>195</v>
      </c>
      <c r="E572" s="40" t="s">
        <v>317</v>
      </c>
      <c r="F572" s="40" t="s">
        <v>225</v>
      </c>
      <c r="G572" s="29">
        <v>219</v>
      </c>
      <c r="I572" s="47">
        <f t="shared" si="543"/>
        <v>219</v>
      </c>
      <c r="K572" s="47">
        <f t="shared" si="543"/>
        <v>219</v>
      </c>
      <c r="M572" s="47">
        <f t="shared" si="544"/>
        <v>219</v>
      </c>
      <c r="N572" s="30">
        <v>-45.4</v>
      </c>
      <c r="O572" s="47">
        <f t="shared" si="545"/>
        <v>173.6</v>
      </c>
      <c r="P572" s="30"/>
      <c r="Q572" s="47">
        <f t="shared" si="546"/>
        <v>173.6</v>
      </c>
      <c r="S572" s="47">
        <f t="shared" si="547"/>
        <v>173.6</v>
      </c>
      <c r="V572" s="47">
        <f>S572+U572</f>
        <v>173.6</v>
      </c>
      <c r="X572" s="47">
        <f>V572+W572</f>
        <v>173.6</v>
      </c>
      <c r="Z572" s="47">
        <f>X572+Y572-57.5</f>
        <v>116.1</v>
      </c>
      <c r="AA572" s="86">
        <v>39.299999999999997</v>
      </c>
      <c r="AB572" s="85">
        <f t="shared" si="509"/>
        <v>0.33850129198966405</v>
      </c>
    </row>
    <row r="573" spans="1:28" x14ac:dyDescent="0.25">
      <c r="A573" s="41" t="s">
        <v>347</v>
      </c>
      <c r="B573" s="40"/>
      <c r="C573" s="40" t="s">
        <v>15</v>
      </c>
      <c r="D573" s="40" t="s">
        <v>195</v>
      </c>
      <c r="E573" s="40" t="s">
        <v>317</v>
      </c>
      <c r="F573" s="40" t="s">
        <v>346</v>
      </c>
      <c r="G573" s="29"/>
      <c r="I573" s="47">
        <v>0</v>
      </c>
      <c r="K573" s="47"/>
      <c r="M573" s="47"/>
      <c r="O573" s="47"/>
      <c r="P573" s="30"/>
      <c r="Q573" s="47"/>
      <c r="S573" s="47"/>
      <c r="V573" s="47"/>
      <c r="X573" s="47"/>
      <c r="Z573" s="47">
        <v>0.2</v>
      </c>
      <c r="AA573" s="86">
        <v>0.2</v>
      </c>
      <c r="AB573" s="85">
        <f t="shared" si="509"/>
        <v>1</v>
      </c>
    </row>
    <row r="574" spans="1:28" x14ac:dyDescent="0.25">
      <c r="A574" s="41" t="s">
        <v>324</v>
      </c>
      <c r="B574" s="40"/>
      <c r="C574" s="40" t="s">
        <v>15</v>
      </c>
      <c r="D574" s="40" t="s">
        <v>195</v>
      </c>
      <c r="E574" s="40" t="s">
        <v>317</v>
      </c>
      <c r="F574" s="40" t="s">
        <v>323</v>
      </c>
      <c r="G574" s="29"/>
      <c r="I574" s="47">
        <v>0</v>
      </c>
      <c r="K574" s="47"/>
      <c r="M574" s="47"/>
      <c r="O574" s="47"/>
      <c r="P574" s="30"/>
      <c r="Q574" s="47"/>
      <c r="S574" s="47"/>
      <c r="V574" s="47"/>
      <c r="X574" s="47"/>
      <c r="Z574" s="47">
        <v>1.2</v>
      </c>
      <c r="AA574" s="86">
        <v>1.2</v>
      </c>
      <c r="AB574" s="85">
        <f t="shared" si="509"/>
        <v>1</v>
      </c>
    </row>
    <row r="575" spans="1:28" ht="30.75" customHeight="1" x14ac:dyDescent="0.25">
      <c r="A575" s="37" t="s">
        <v>344</v>
      </c>
      <c r="B575" s="35" t="s">
        <v>345</v>
      </c>
      <c r="C575" s="35"/>
      <c r="D575" s="35"/>
      <c r="E575" s="35"/>
      <c r="F575" s="35"/>
      <c r="G575" s="36">
        <f>G576</f>
        <v>1083.1000000000001</v>
      </c>
      <c r="I575" s="48">
        <f>I576</f>
        <v>1083.1000000000001</v>
      </c>
      <c r="K575" s="48">
        <f>K576+K582</f>
        <v>1206.4000000000001</v>
      </c>
      <c r="M575" s="48">
        <f>M576+M582</f>
        <v>1206.4000000000001</v>
      </c>
      <c r="O575" s="48">
        <f>O576+O582</f>
        <v>1206.4000000000001</v>
      </c>
      <c r="P575" s="30"/>
      <c r="Q575" s="48">
        <f>Q576+Q582</f>
        <v>1206.4000000000001</v>
      </c>
      <c r="S575" s="48">
        <f>S576+S582</f>
        <v>1206.4000000000001</v>
      </c>
      <c r="V575" s="48">
        <f>V576+V582</f>
        <v>1206.4000000000001</v>
      </c>
      <c r="X575" s="48">
        <f>X576+X582</f>
        <v>1665.5600000000002</v>
      </c>
      <c r="Z575" s="48">
        <f>Z576+Z582</f>
        <v>1665.5500000000002</v>
      </c>
      <c r="AA575" s="48">
        <f>AA576+AA582</f>
        <v>1445.78</v>
      </c>
      <c r="AB575" s="87">
        <f t="shared" si="509"/>
        <v>0.86804959322746233</v>
      </c>
    </row>
    <row r="576" spans="1:28" x14ac:dyDescent="0.25">
      <c r="A576" s="34" t="s">
        <v>45</v>
      </c>
      <c r="B576" s="35"/>
      <c r="C576" s="35" t="s">
        <v>46</v>
      </c>
      <c r="D576" s="35"/>
      <c r="E576" s="35"/>
      <c r="F576" s="35"/>
      <c r="G576" s="36">
        <f>G577</f>
        <v>1083.1000000000001</v>
      </c>
      <c r="I576" s="48">
        <f>I577</f>
        <v>1083.1000000000001</v>
      </c>
      <c r="K576" s="48">
        <f>K577</f>
        <v>1176.6000000000001</v>
      </c>
      <c r="M576" s="48">
        <f>M577</f>
        <v>1021.5800000000002</v>
      </c>
      <c r="O576" s="48">
        <f>O577</f>
        <v>1021.5800000000002</v>
      </c>
      <c r="P576" s="30"/>
      <c r="Q576" s="48">
        <f>Q577</f>
        <v>1021.5800000000002</v>
      </c>
      <c r="S576" s="48">
        <f>S577</f>
        <v>1021.5800000000002</v>
      </c>
      <c r="V576" s="48">
        <f>V577</f>
        <v>1021.5800000000002</v>
      </c>
      <c r="X576" s="48">
        <f>X577</f>
        <v>1021.5800000000002</v>
      </c>
      <c r="Z576" s="48">
        <f>Z577</f>
        <v>968.14000000000021</v>
      </c>
      <c r="AA576" s="48">
        <f>AA577</f>
        <v>748.37</v>
      </c>
      <c r="AB576" s="87">
        <f t="shared" si="509"/>
        <v>0.77299770694321057</v>
      </c>
    </row>
    <row r="577" spans="1:28" ht="15.75" customHeight="1" x14ac:dyDescent="0.25">
      <c r="A577" s="39" t="s">
        <v>51</v>
      </c>
      <c r="B577" s="35"/>
      <c r="C577" s="35" t="s">
        <v>46</v>
      </c>
      <c r="D577" s="35" t="s">
        <v>46</v>
      </c>
      <c r="E577" s="35"/>
      <c r="F577" s="35"/>
      <c r="G577" s="36">
        <f>G578</f>
        <v>1083.1000000000001</v>
      </c>
      <c r="I577" s="48">
        <f>I578</f>
        <v>1083.1000000000001</v>
      </c>
      <c r="K577" s="48">
        <f>K578</f>
        <v>1176.6000000000001</v>
      </c>
      <c r="M577" s="48">
        <f>M578</f>
        <v>1021.5800000000002</v>
      </c>
      <c r="O577" s="48">
        <f>O578</f>
        <v>1021.5800000000002</v>
      </c>
      <c r="P577" s="30"/>
      <c r="Q577" s="48">
        <f>Q578</f>
        <v>1021.5800000000002</v>
      </c>
      <c r="S577" s="48">
        <f>S578</f>
        <v>1021.5800000000002</v>
      </c>
      <c r="V577" s="48">
        <f>V578</f>
        <v>1021.5800000000002</v>
      </c>
      <c r="X577" s="48">
        <f>X578</f>
        <v>1021.5800000000002</v>
      </c>
      <c r="Z577" s="48">
        <f>Z578</f>
        <v>968.14000000000021</v>
      </c>
      <c r="AA577" s="48">
        <f>AA578</f>
        <v>748.37</v>
      </c>
      <c r="AB577" s="87">
        <f t="shared" si="509"/>
        <v>0.77299770694321057</v>
      </c>
    </row>
    <row r="578" spans="1:28" x14ac:dyDescent="0.25">
      <c r="A578" s="41" t="s">
        <v>52</v>
      </c>
      <c r="B578" s="40"/>
      <c r="C578" s="40" t="s">
        <v>46</v>
      </c>
      <c r="D578" s="40" t="s">
        <v>46</v>
      </c>
      <c r="E578" s="40" t="s">
        <v>282</v>
      </c>
      <c r="F578" s="40"/>
      <c r="G578" s="29">
        <f>G579+G581</f>
        <v>1083.1000000000001</v>
      </c>
      <c r="I578" s="47">
        <f>I579+I581</f>
        <v>1083.1000000000001</v>
      </c>
      <c r="K578" s="47">
        <f>K579+K581</f>
        <v>1176.6000000000001</v>
      </c>
      <c r="M578" s="47">
        <f>M579+M581+M580</f>
        <v>1021.5800000000002</v>
      </c>
      <c r="O578" s="47">
        <f>O579+O581+O580</f>
        <v>1021.5800000000002</v>
      </c>
      <c r="P578" s="30"/>
      <c r="Q578" s="47">
        <f>Q579+Q581+Q580</f>
        <v>1021.5800000000002</v>
      </c>
      <c r="S578" s="47">
        <f>S579+S581+S580</f>
        <v>1021.5800000000002</v>
      </c>
      <c r="V578" s="47">
        <f>V579+V581+V580</f>
        <v>1021.5800000000002</v>
      </c>
      <c r="X578" s="47">
        <f>X579+X581+X580</f>
        <v>1021.5800000000002</v>
      </c>
      <c r="Z578" s="47">
        <f>Z579+Z581+Z580</f>
        <v>968.14000000000021</v>
      </c>
      <c r="AA578" s="47">
        <f>AA579+AA581+AA580</f>
        <v>748.37</v>
      </c>
      <c r="AB578" s="85">
        <f t="shared" si="509"/>
        <v>0.77299770694321057</v>
      </c>
    </row>
    <row r="579" spans="1:28" x14ac:dyDescent="0.25">
      <c r="A579" s="19" t="s">
        <v>217</v>
      </c>
      <c r="B579" s="40"/>
      <c r="C579" s="40" t="s">
        <v>46</v>
      </c>
      <c r="D579" s="40" t="s">
        <v>46</v>
      </c>
      <c r="E579" s="40" t="s">
        <v>282</v>
      </c>
      <c r="F579" s="40" t="s">
        <v>218</v>
      </c>
      <c r="G579" s="29">
        <f>670.2+277.6</f>
        <v>947.80000000000007</v>
      </c>
      <c r="I579" s="47">
        <f t="shared" ref="I579:K581" si="548">G579+H579</f>
        <v>947.80000000000007</v>
      </c>
      <c r="J579" s="28">
        <v>123.3</v>
      </c>
      <c r="K579" s="47">
        <f t="shared" si="548"/>
        <v>1071.1000000000001</v>
      </c>
      <c r="L579" s="30">
        <v>-155.02000000000001</v>
      </c>
      <c r="M579" s="47">
        <f t="shared" ref="M579:M581" si="549">K579+L579</f>
        <v>916.08000000000015</v>
      </c>
      <c r="O579" s="47">
        <f t="shared" ref="O579:O581" si="550">M579+N579</f>
        <v>916.08000000000015</v>
      </c>
      <c r="P579" s="30"/>
      <c r="Q579" s="47">
        <f t="shared" ref="Q579:Q581" si="551">O579+P579</f>
        <v>916.08000000000015</v>
      </c>
      <c r="S579" s="47">
        <f t="shared" ref="S579:S581" si="552">Q579+R579</f>
        <v>916.08000000000015</v>
      </c>
      <c r="V579" s="47">
        <f>S579+U579</f>
        <v>916.08000000000015</v>
      </c>
      <c r="X579" s="47">
        <f>V579+W579</f>
        <v>916.08000000000015</v>
      </c>
      <c r="Z579" s="47">
        <f>X579+Y579</f>
        <v>916.08000000000015</v>
      </c>
      <c r="AA579" s="86">
        <v>735</v>
      </c>
      <c r="AB579" s="85">
        <f t="shared" si="509"/>
        <v>0.80233167408959905</v>
      </c>
    </row>
    <row r="580" spans="1:28" x14ac:dyDescent="0.25">
      <c r="A580" s="43" t="s">
        <v>244</v>
      </c>
      <c r="B580" s="40"/>
      <c r="C580" s="40" t="s">
        <v>46</v>
      </c>
      <c r="D580" s="40" t="s">
        <v>46</v>
      </c>
      <c r="E580" s="40" t="s">
        <v>282</v>
      </c>
      <c r="F580" s="40" t="s">
        <v>225</v>
      </c>
      <c r="G580" s="29"/>
      <c r="I580" s="47">
        <v>0</v>
      </c>
      <c r="K580" s="47"/>
      <c r="L580" s="30">
        <v>13.85</v>
      </c>
      <c r="M580" s="47">
        <f t="shared" si="549"/>
        <v>13.85</v>
      </c>
      <c r="O580" s="47">
        <f t="shared" si="550"/>
        <v>13.85</v>
      </c>
      <c r="P580" s="30"/>
      <c r="Q580" s="47">
        <f t="shared" si="551"/>
        <v>13.85</v>
      </c>
      <c r="S580" s="47">
        <f t="shared" si="552"/>
        <v>13.85</v>
      </c>
      <c r="V580" s="47">
        <f>S580+U580</f>
        <v>13.85</v>
      </c>
      <c r="X580" s="47">
        <f>V580+W580</f>
        <v>13.85</v>
      </c>
      <c r="Z580" s="47">
        <f>X580+Y580</f>
        <v>13.85</v>
      </c>
      <c r="AA580" s="86">
        <v>13.37</v>
      </c>
      <c r="AB580" s="85">
        <f t="shared" si="509"/>
        <v>0.96534296028880862</v>
      </c>
    </row>
    <row r="581" spans="1:28" x14ac:dyDescent="0.25">
      <c r="A581" s="41" t="s">
        <v>347</v>
      </c>
      <c r="B581" s="40"/>
      <c r="C581" s="40" t="s">
        <v>46</v>
      </c>
      <c r="D581" s="40" t="s">
        <v>46</v>
      </c>
      <c r="E581" s="40" t="s">
        <v>282</v>
      </c>
      <c r="F581" s="40" t="s">
        <v>346</v>
      </c>
      <c r="G581" s="29">
        <v>135.30000000000001</v>
      </c>
      <c r="I581" s="47">
        <f t="shared" si="548"/>
        <v>135.30000000000001</v>
      </c>
      <c r="J581" s="28">
        <v>-29.8</v>
      </c>
      <c r="K581" s="47">
        <f t="shared" si="548"/>
        <v>105.50000000000001</v>
      </c>
      <c r="L581" s="30">
        <v>-13.85</v>
      </c>
      <c r="M581" s="47">
        <f t="shared" si="549"/>
        <v>91.65000000000002</v>
      </c>
      <c r="O581" s="47">
        <f t="shared" si="550"/>
        <v>91.65000000000002</v>
      </c>
      <c r="P581" s="30"/>
      <c r="Q581" s="47">
        <f t="shared" si="551"/>
        <v>91.65000000000002</v>
      </c>
      <c r="S581" s="47">
        <f t="shared" si="552"/>
        <v>91.65000000000002</v>
      </c>
      <c r="V581" s="47">
        <f>S581+U581</f>
        <v>91.65000000000002</v>
      </c>
      <c r="X581" s="47">
        <f>V581+W581</f>
        <v>91.65000000000002</v>
      </c>
      <c r="Z581" s="47">
        <f>X581+Y581-53.44</f>
        <v>38.210000000000022</v>
      </c>
      <c r="AA581" s="86">
        <v>0</v>
      </c>
      <c r="AB581" s="85">
        <f t="shared" si="509"/>
        <v>0</v>
      </c>
    </row>
    <row r="582" spans="1:28" x14ac:dyDescent="0.25">
      <c r="A582" s="42" t="s">
        <v>134</v>
      </c>
      <c r="B582" s="35"/>
      <c r="C582" s="35" t="s">
        <v>15</v>
      </c>
      <c r="D582" s="35"/>
      <c r="E582" s="35"/>
      <c r="F582" s="35"/>
      <c r="G582" s="36"/>
      <c r="H582" s="56"/>
      <c r="I582" s="48">
        <v>0</v>
      </c>
      <c r="J582" s="57"/>
      <c r="K582" s="48">
        <f>K583</f>
        <v>29.8</v>
      </c>
      <c r="L582" s="66"/>
      <c r="M582" s="48">
        <f>M583</f>
        <v>184.82000000000002</v>
      </c>
      <c r="N582" s="66"/>
      <c r="O582" s="48">
        <f>O583</f>
        <v>184.82000000000002</v>
      </c>
      <c r="P582" s="66"/>
      <c r="Q582" s="48">
        <f>Q583</f>
        <v>184.82000000000002</v>
      </c>
      <c r="R582" s="66"/>
      <c r="S582" s="48">
        <f>S583</f>
        <v>184.82000000000002</v>
      </c>
      <c r="U582" s="66"/>
      <c r="V582" s="48">
        <f>V583</f>
        <v>184.82000000000002</v>
      </c>
      <c r="W582" s="66"/>
      <c r="X582" s="48">
        <f>X583</f>
        <v>643.98</v>
      </c>
      <c r="Y582" s="66"/>
      <c r="Z582" s="48">
        <f t="shared" ref="Z582:AA584" si="553">Z583</f>
        <v>697.41</v>
      </c>
      <c r="AA582" s="48">
        <f t="shared" si="553"/>
        <v>697.41</v>
      </c>
      <c r="AB582" s="87">
        <f t="shared" si="509"/>
        <v>1</v>
      </c>
    </row>
    <row r="583" spans="1:28" x14ac:dyDescent="0.25">
      <c r="A583" s="42" t="s">
        <v>29</v>
      </c>
      <c r="B583" s="35"/>
      <c r="C583" s="35" t="s">
        <v>15</v>
      </c>
      <c r="D583" s="35" t="s">
        <v>195</v>
      </c>
      <c r="E583" s="35"/>
      <c r="F583" s="35"/>
      <c r="G583" s="36"/>
      <c r="H583" s="56"/>
      <c r="I583" s="48">
        <v>0</v>
      </c>
      <c r="J583" s="57"/>
      <c r="K583" s="48">
        <f>K584</f>
        <v>29.8</v>
      </c>
      <c r="L583" s="66"/>
      <c r="M583" s="48">
        <f>M584</f>
        <v>184.82000000000002</v>
      </c>
      <c r="N583" s="66"/>
      <c r="O583" s="48">
        <f>O584</f>
        <v>184.82000000000002</v>
      </c>
      <c r="P583" s="66"/>
      <c r="Q583" s="48">
        <f>Q584</f>
        <v>184.82000000000002</v>
      </c>
      <c r="R583" s="66"/>
      <c r="S583" s="48">
        <f>S584</f>
        <v>184.82000000000002</v>
      </c>
      <c r="U583" s="66"/>
      <c r="V583" s="48">
        <f>V584</f>
        <v>184.82000000000002</v>
      </c>
      <c r="W583" s="66"/>
      <c r="X583" s="48">
        <f>X584</f>
        <v>643.98</v>
      </c>
      <c r="Y583" s="66"/>
      <c r="Z583" s="48">
        <f t="shared" si="553"/>
        <v>697.41</v>
      </c>
      <c r="AA583" s="48">
        <f t="shared" si="553"/>
        <v>697.41</v>
      </c>
      <c r="AB583" s="87">
        <f t="shared" si="509"/>
        <v>1</v>
      </c>
    </row>
    <row r="584" spans="1:28" x14ac:dyDescent="0.25">
      <c r="A584" s="19" t="s">
        <v>177</v>
      </c>
      <c r="B584" s="40"/>
      <c r="C584" s="40" t="s">
        <v>15</v>
      </c>
      <c r="D584" s="40" t="s">
        <v>195</v>
      </c>
      <c r="E584" s="40" t="s">
        <v>234</v>
      </c>
      <c r="F584" s="40"/>
      <c r="G584" s="29"/>
      <c r="I584" s="47">
        <v>0</v>
      </c>
      <c r="K584" s="47">
        <f>K585</f>
        <v>29.8</v>
      </c>
      <c r="M584" s="47">
        <f>M585</f>
        <v>184.82000000000002</v>
      </c>
      <c r="O584" s="47">
        <f>O585</f>
        <v>184.82000000000002</v>
      </c>
      <c r="P584" s="30"/>
      <c r="Q584" s="47">
        <f>Q585</f>
        <v>184.82000000000002</v>
      </c>
      <c r="S584" s="47">
        <f>S585</f>
        <v>184.82000000000002</v>
      </c>
      <c r="V584" s="47">
        <f>V585</f>
        <v>184.82000000000002</v>
      </c>
      <c r="X584" s="47">
        <f>X585</f>
        <v>643.98</v>
      </c>
      <c r="Z584" s="47">
        <f t="shared" si="553"/>
        <v>697.41</v>
      </c>
      <c r="AA584" s="47">
        <f t="shared" si="553"/>
        <v>697.41</v>
      </c>
      <c r="AB584" s="85">
        <f t="shared" si="509"/>
        <v>1</v>
      </c>
    </row>
    <row r="585" spans="1:28" ht="60" customHeight="1" x14ac:dyDescent="0.25">
      <c r="A585" s="19" t="s">
        <v>260</v>
      </c>
      <c r="B585" s="40"/>
      <c r="C585" s="40" t="s">
        <v>15</v>
      </c>
      <c r="D585" s="40" t="s">
        <v>195</v>
      </c>
      <c r="E585" s="40" t="s">
        <v>234</v>
      </c>
      <c r="F585" s="40" t="s">
        <v>259</v>
      </c>
      <c r="G585" s="29"/>
      <c r="I585" s="47">
        <v>0</v>
      </c>
      <c r="J585" s="28">
        <v>29.8</v>
      </c>
      <c r="K585" s="47">
        <f t="shared" ref="K585" si="554">I585+J585</f>
        <v>29.8</v>
      </c>
      <c r="L585" s="30">
        <v>155.02000000000001</v>
      </c>
      <c r="M585" s="47">
        <f t="shared" ref="M585" si="555">K585+L585</f>
        <v>184.82000000000002</v>
      </c>
      <c r="O585" s="47">
        <f t="shared" ref="O585" si="556">M585+N585</f>
        <v>184.82000000000002</v>
      </c>
      <c r="P585" s="30"/>
      <c r="Q585" s="47">
        <f t="shared" ref="Q585" si="557">O585+P585</f>
        <v>184.82000000000002</v>
      </c>
      <c r="S585" s="47">
        <f t="shared" ref="S585" si="558">Q585+R585</f>
        <v>184.82000000000002</v>
      </c>
      <c r="V585" s="47">
        <f>S585+U585</f>
        <v>184.82000000000002</v>
      </c>
      <c r="W585" s="30">
        <v>459.16</v>
      </c>
      <c r="X585" s="47">
        <f>V585+W585</f>
        <v>643.98</v>
      </c>
      <c r="Z585" s="47">
        <f>X585+Y585+53.43</f>
        <v>697.41</v>
      </c>
      <c r="AA585" s="86">
        <v>697.41</v>
      </c>
      <c r="AB585" s="85">
        <f t="shared" si="509"/>
        <v>1</v>
      </c>
    </row>
    <row r="586" spans="1:28" x14ac:dyDescent="0.25">
      <c r="A586" s="109" t="s">
        <v>348</v>
      </c>
      <c r="B586" s="110"/>
      <c r="C586" s="110"/>
      <c r="D586" s="110"/>
      <c r="E586" s="110"/>
      <c r="F586" s="110"/>
      <c r="G586" s="48">
        <f>G12+G165+G178+G353+G414+G431+G454+G467+G562+G575</f>
        <v>290592.73999999993</v>
      </c>
      <c r="H586" s="53">
        <f>SUM(H12:H581)</f>
        <v>46816.689999999988</v>
      </c>
      <c r="I586" s="48">
        <f>I12+I165+I178+I353+I414+I431+I454+I467+I562+I575</f>
        <v>321429.33</v>
      </c>
      <c r="J586" s="28">
        <f>SUM(J12:J585)</f>
        <v>9795.5200000000059</v>
      </c>
      <c r="K586" s="48">
        <f>K12+K165+K178+K353+K414+K431+K454+K467+K562+K575</f>
        <v>333712.68000000005</v>
      </c>
      <c r="L586" s="30">
        <f>SUM(L12:L585)</f>
        <v>141434.65</v>
      </c>
      <c r="M586" s="48">
        <f>M12+M165+M178+M353+M414+M431+M454+M467+M562+M575</f>
        <v>478456.67</v>
      </c>
      <c r="N586" s="41">
        <f>SUM(N12:N585)</f>
        <v>46843.700000000004</v>
      </c>
      <c r="O586" s="48">
        <f>O12+O165+O178+O353+O414+O431+O454+O467+O562+O575</f>
        <v>524838.56000000006</v>
      </c>
      <c r="P586" s="41">
        <f>SUM(P12:P585)</f>
        <v>1800</v>
      </c>
      <c r="Q586" s="48">
        <f>Q12+Q165+Q178+Q353+Q414+Q431+Q454+Q467+Q562+Q575</f>
        <v>526638.56000000006</v>
      </c>
      <c r="R586" s="41">
        <f>SUM(R12:R585)</f>
        <v>66503.259999999995</v>
      </c>
      <c r="S586" s="48">
        <f>S12+S165+S178+S353+S414+S431+S454+S467+S562+S575</f>
        <v>593289.92000000004</v>
      </c>
      <c r="U586" s="41">
        <f>SUM(U12:U585)</f>
        <v>2400</v>
      </c>
      <c r="V586" s="48">
        <f>V12+V165+V178+V353+V414+V431+V454+V467+V562+V575</f>
        <v>595689.92000000004</v>
      </c>
      <c r="W586" s="41">
        <f>SUM(W12:W585)</f>
        <v>5162.88</v>
      </c>
      <c r="X586" s="48">
        <f>X12+X165+X178+X353+X414+X431+X454+X467+X562+X575</f>
        <v>600553.4</v>
      </c>
      <c r="Y586" s="41">
        <f>SUM(Y12:Y585)</f>
        <v>1664.0700000000006</v>
      </c>
      <c r="Z586" s="48">
        <f>Z12+Z165+Z178+Z353+Z414+Z431+Z454+Z467+Z562+Z575</f>
        <v>719505.9</v>
      </c>
      <c r="AA586" s="48">
        <f>AA12+AA165+AA178+AA353+AA414+AA431+AA454+AA467+AA562+AA575</f>
        <v>467738.6</v>
      </c>
      <c r="AB586" s="87">
        <f t="shared" si="509"/>
        <v>0.65008306394707804</v>
      </c>
    </row>
    <row r="587" spans="1:28" x14ac:dyDescent="0.25">
      <c r="K587" s="51">
        <f>I586+J586</f>
        <v>331224.85000000003</v>
      </c>
      <c r="M587" s="51"/>
      <c r="O587" s="51"/>
    </row>
    <row r="588" spans="1:28" x14ac:dyDescent="0.25">
      <c r="K588" s="51">
        <f>K587-K586</f>
        <v>-2487.8300000000163</v>
      </c>
      <c r="M588" s="51"/>
      <c r="O588" s="51"/>
    </row>
    <row r="589" spans="1:28" hidden="1" x14ac:dyDescent="0.25"/>
    <row r="590" spans="1:28" hidden="1" x14ac:dyDescent="0.25">
      <c r="Q590" s="80">
        <f>R97</f>
        <v>1550.3</v>
      </c>
      <c r="R590" s="30" t="s">
        <v>611</v>
      </c>
      <c r="U590" s="30" t="s">
        <v>611</v>
      </c>
      <c r="W590" s="30" t="s">
        <v>611</v>
      </c>
      <c r="Y590" s="30" t="s">
        <v>611</v>
      </c>
    </row>
    <row r="591" spans="1:28" hidden="1" x14ac:dyDescent="0.25">
      <c r="Q591" s="79">
        <f>R507+R485+R208+R533</f>
        <v>570.9</v>
      </c>
      <c r="R591" s="30" t="s">
        <v>604</v>
      </c>
      <c r="U591" s="30" t="s">
        <v>604</v>
      </c>
      <c r="W591" s="30" t="s">
        <v>604</v>
      </c>
      <c r="Y591" s="30" t="s">
        <v>604</v>
      </c>
    </row>
    <row r="592" spans="1:28" hidden="1" x14ac:dyDescent="0.25">
      <c r="Q592" s="78">
        <f>R26+R121+R140+R161+R382+R386</f>
        <v>872.53</v>
      </c>
      <c r="R592" s="30" t="s">
        <v>605</v>
      </c>
      <c r="U592" s="30" t="s">
        <v>605</v>
      </c>
      <c r="W592" s="30" t="s">
        <v>605</v>
      </c>
      <c r="Y592" s="30" t="s">
        <v>605</v>
      </c>
    </row>
    <row r="593" spans="17:25" hidden="1" x14ac:dyDescent="0.25">
      <c r="Q593" s="76">
        <f>R126+R201+R202+R225+R229+R232+R246+R249+R294+R295+R296+R482+R499+R530+R538</f>
        <v>2258.84</v>
      </c>
      <c r="R593" s="30" t="s">
        <v>606</v>
      </c>
      <c r="U593" s="30" t="s">
        <v>606</v>
      </c>
      <c r="W593" s="30" t="s">
        <v>606</v>
      </c>
      <c r="Y593" s="30" t="s">
        <v>606</v>
      </c>
    </row>
    <row r="594" spans="17:25" hidden="1" x14ac:dyDescent="0.25">
      <c r="Q594" s="74">
        <f>R550+R528+R527+R526+R489+R440+R438+R392+R388+R364+R303+R301+R286+R237+R131</f>
        <v>63509.55000000001</v>
      </c>
      <c r="R594" s="30" t="s">
        <v>607</v>
      </c>
      <c r="U594" s="30" t="s">
        <v>607</v>
      </c>
      <c r="W594" s="30" t="s">
        <v>607</v>
      </c>
      <c r="Y594" s="30" t="s">
        <v>607</v>
      </c>
    </row>
  </sheetData>
  <mergeCells count="36">
    <mergeCell ref="A7:Z7"/>
    <mergeCell ref="A6:G6"/>
    <mergeCell ref="A5:Z5"/>
    <mergeCell ref="A1:AB1"/>
    <mergeCell ref="A2:AB2"/>
    <mergeCell ref="A3:AB3"/>
    <mergeCell ref="A4:AB4"/>
    <mergeCell ref="U9:U10"/>
    <mergeCell ref="V9:V10"/>
    <mergeCell ref="O9:O10"/>
    <mergeCell ref="P9:P10"/>
    <mergeCell ref="Q9:Q10"/>
    <mergeCell ref="A586:F586"/>
    <mergeCell ref="G9:G10"/>
    <mergeCell ref="A9:A10"/>
    <mergeCell ref="B9:B10"/>
    <mergeCell ref="C9:C10"/>
    <mergeCell ref="D9:D10"/>
    <mergeCell ref="E9:E10"/>
    <mergeCell ref="F9:F10"/>
    <mergeCell ref="AA9:AA10"/>
    <mergeCell ref="AB9:AB10"/>
    <mergeCell ref="A8:AB8"/>
    <mergeCell ref="I9:I10"/>
    <mergeCell ref="H9:H10"/>
    <mergeCell ref="L9:L10"/>
    <mergeCell ref="M9:M10"/>
    <mergeCell ref="N9:N10"/>
    <mergeCell ref="K9:K10"/>
    <mergeCell ref="J9:J10"/>
    <mergeCell ref="Y9:Y10"/>
    <mergeCell ref="Z9:Z10"/>
    <mergeCell ref="R9:R10"/>
    <mergeCell ref="S9:S10"/>
    <mergeCell ref="W9:W10"/>
    <mergeCell ref="X9:X10"/>
  </mergeCells>
  <pageMargins left="0.82677165354330717" right="0" top="0.39370078740157483" bottom="0" header="0" footer="0"/>
  <pageSetup paperSize="9" scale="7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G245"/>
  <sheetViews>
    <sheetView tabSelected="1" topLeftCell="A222" zoomScaleNormal="100" workbookViewId="0">
      <selection activeCell="A239" sqref="A239"/>
    </sheetView>
  </sheetViews>
  <sheetFormatPr defaultRowHeight="15.75" x14ac:dyDescent="0.25"/>
  <cols>
    <col min="1" max="1" width="66.28515625" style="3" customWidth="1"/>
    <col min="2" max="2" width="4.7109375" style="3" customWidth="1"/>
    <col min="3" max="3" width="5.28515625" style="3" customWidth="1"/>
    <col min="4" max="4" width="9.5703125" style="3" customWidth="1"/>
    <col min="5" max="5" width="15.42578125" style="16" customWidth="1"/>
    <col min="6" max="6" width="13.7109375" style="16" customWidth="1"/>
    <col min="7" max="7" width="15.5703125" style="89" customWidth="1"/>
    <col min="8" max="16384" width="9.140625" style="2"/>
  </cols>
  <sheetData>
    <row r="1" spans="1:7" x14ac:dyDescent="0.25">
      <c r="A1" s="116" t="s">
        <v>629</v>
      </c>
      <c r="B1" s="116"/>
      <c r="C1" s="116"/>
      <c r="D1" s="116"/>
      <c r="E1" s="116"/>
      <c r="F1" s="100"/>
      <c r="G1" s="100"/>
    </row>
    <row r="2" spans="1:7" x14ac:dyDescent="0.25">
      <c r="A2" s="116" t="s">
        <v>0</v>
      </c>
      <c r="B2" s="116"/>
      <c r="C2" s="116"/>
      <c r="D2" s="116"/>
      <c r="E2" s="116"/>
      <c r="F2" s="100"/>
      <c r="G2" s="100"/>
    </row>
    <row r="3" spans="1:7" x14ac:dyDescent="0.25">
      <c r="A3" s="116" t="s">
        <v>130</v>
      </c>
      <c r="B3" s="116"/>
      <c r="C3" s="116"/>
      <c r="D3" s="116"/>
      <c r="E3" s="116"/>
      <c r="F3" s="100"/>
      <c r="G3" s="100"/>
    </row>
    <row r="4" spans="1:7" x14ac:dyDescent="0.25">
      <c r="A4" s="116" t="s">
        <v>676</v>
      </c>
      <c r="B4" s="116"/>
      <c r="C4" s="116"/>
      <c r="D4" s="116"/>
      <c r="E4" s="116"/>
      <c r="F4" s="100"/>
      <c r="G4" s="100"/>
    </row>
    <row r="5" spans="1:7" ht="8.25" customHeight="1" x14ac:dyDescent="0.25"/>
    <row r="6" spans="1:7" ht="44.25" customHeight="1" x14ac:dyDescent="0.3">
      <c r="A6" s="117" t="s">
        <v>678</v>
      </c>
      <c r="B6" s="117"/>
      <c r="C6" s="117"/>
      <c r="D6" s="117"/>
      <c r="E6" s="117"/>
      <c r="F6" s="100"/>
      <c r="G6" s="100"/>
    </row>
    <row r="7" spans="1:7" ht="13.5" customHeight="1" thickBot="1" x14ac:dyDescent="0.3">
      <c r="E7" s="4"/>
      <c r="G7" s="4" t="s">
        <v>131</v>
      </c>
    </row>
    <row r="8" spans="1:7" ht="39" customHeight="1" thickBot="1" x14ac:dyDescent="0.3">
      <c r="A8" s="5" t="s">
        <v>132</v>
      </c>
      <c r="B8" s="6" t="s">
        <v>133</v>
      </c>
      <c r="C8" s="6" t="s">
        <v>11</v>
      </c>
      <c r="D8" s="6" t="s">
        <v>12</v>
      </c>
      <c r="E8" s="88" t="s">
        <v>670</v>
      </c>
      <c r="F8" s="26" t="s">
        <v>671</v>
      </c>
      <c r="G8" s="90" t="s">
        <v>672</v>
      </c>
    </row>
    <row r="9" spans="1:7" x14ac:dyDescent="0.25">
      <c r="A9" s="7" t="s">
        <v>134</v>
      </c>
      <c r="B9" s="8" t="s">
        <v>15</v>
      </c>
      <c r="C9" s="8" t="s">
        <v>16</v>
      </c>
      <c r="D9" s="8" t="s">
        <v>135</v>
      </c>
      <c r="E9" s="9">
        <f>E10+E12+E15+E23+E29+E19+E21</f>
        <v>86536.930000000008</v>
      </c>
      <c r="F9" s="9">
        <f>F10+F12+F15+F23+F29+F19+F21</f>
        <v>84056.25</v>
      </c>
      <c r="G9" s="92">
        <f>F9/E9</f>
        <v>0.97133385711741793</v>
      </c>
    </row>
    <row r="10" spans="1:7" ht="31.5" hidden="1" x14ac:dyDescent="0.25">
      <c r="A10" s="10" t="s">
        <v>136</v>
      </c>
      <c r="B10" s="11" t="s">
        <v>15</v>
      </c>
      <c r="C10" s="11" t="s">
        <v>17</v>
      </c>
      <c r="D10" s="11" t="s">
        <v>135</v>
      </c>
      <c r="E10" s="12">
        <f>E11</f>
        <v>0</v>
      </c>
      <c r="F10" s="12">
        <f>F11</f>
        <v>0</v>
      </c>
      <c r="G10" s="93"/>
    </row>
    <row r="11" spans="1:7" hidden="1" x14ac:dyDescent="0.25">
      <c r="A11" s="13" t="s">
        <v>18</v>
      </c>
      <c r="B11" s="14" t="s">
        <v>15</v>
      </c>
      <c r="C11" s="14" t="s">
        <v>17</v>
      </c>
      <c r="D11" s="14" t="s">
        <v>137</v>
      </c>
      <c r="E11" s="15"/>
      <c r="F11" s="15"/>
      <c r="G11" s="93"/>
    </row>
    <row r="12" spans="1:7" ht="43.5" customHeight="1" x14ac:dyDescent="0.25">
      <c r="A12" s="10" t="s">
        <v>19</v>
      </c>
      <c r="B12" s="11" t="s">
        <v>15</v>
      </c>
      <c r="C12" s="11" t="s">
        <v>20</v>
      </c>
      <c r="D12" s="11" t="s">
        <v>135</v>
      </c>
      <c r="E12" s="12">
        <f>E13+E14</f>
        <v>2993.66</v>
      </c>
      <c r="F12" s="12">
        <f>F13+F14</f>
        <v>2609.5500000000002</v>
      </c>
      <c r="G12" s="93">
        <f>F12/E12</f>
        <v>0.87169217613222616</v>
      </c>
    </row>
    <row r="13" spans="1:7" x14ac:dyDescent="0.25">
      <c r="A13" s="13" t="s">
        <v>22</v>
      </c>
      <c r="B13" s="14" t="s">
        <v>15</v>
      </c>
      <c r="C13" s="14" t="s">
        <v>20</v>
      </c>
      <c r="D13" s="14" t="s">
        <v>106</v>
      </c>
      <c r="E13" s="15">
        <f>прил.3!Z168</f>
        <v>1612.16</v>
      </c>
      <c r="F13" s="15">
        <f>прил.3!AA168</f>
        <v>1463.77</v>
      </c>
      <c r="G13" s="91">
        <f t="shared" ref="G13:G78" si="0">F13/E13</f>
        <v>0.90795578602620086</v>
      </c>
    </row>
    <row r="14" spans="1:7" ht="31.5" customHeight="1" x14ac:dyDescent="0.25">
      <c r="A14" s="13" t="s">
        <v>138</v>
      </c>
      <c r="B14" s="14" t="s">
        <v>15</v>
      </c>
      <c r="C14" s="14" t="s">
        <v>20</v>
      </c>
      <c r="D14" s="14" t="s">
        <v>139</v>
      </c>
      <c r="E14" s="15">
        <f>прил.3!Z176</f>
        <v>1381.5</v>
      </c>
      <c r="F14" s="15">
        <f>прил.3!AA176</f>
        <v>1145.78</v>
      </c>
      <c r="G14" s="91">
        <f t="shared" si="0"/>
        <v>0.82937386898298948</v>
      </c>
    </row>
    <row r="15" spans="1:7" ht="45" customHeight="1" x14ac:dyDescent="0.25">
      <c r="A15" s="10" t="s">
        <v>140</v>
      </c>
      <c r="B15" s="11" t="s">
        <v>15</v>
      </c>
      <c r="C15" s="11" t="s">
        <v>24</v>
      </c>
      <c r="D15" s="11" t="s">
        <v>135</v>
      </c>
      <c r="E15" s="12">
        <f>E16+E18+E17</f>
        <v>36333.900000000009</v>
      </c>
      <c r="F15" s="12">
        <f>F16+F18+F17</f>
        <v>35441.86</v>
      </c>
      <c r="G15" s="93">
        <f t="shared" si="0"/>
        <v>0.97544882327523308</v>
      </c>
    </row>
    <row r="16" spans="1:7" x14ac:dyDescent="0.25">
      <c r="A16" s="13" t="s">
        <v>22</v>
      </c>
      <c r="B16" s="14" t="s">
        <v>15</v>
      </c>
      <c r="C16" s="14" t="s">
        <v>24</v>
      </c>
      <c r="D16" s="14" t="s">
        <v>106</v>
      </c>
      <c r="E16" s="15">
        <f>прил.3!Z16</f>
        <v>34466.000000000007</v>
      </c>
      <c r="F16" s="15">
        <f>прил.3!AA16</f>
        <v>33927.24</v>
      </c>
      <c r="G16" s="91">
        <f t="shared" si="0"/>
        <v>0.98436836302442965</v>
      </c>
    </row>
    <row r="17" spans="1:7" ht="31.5" x14ac:dyDescent="0.25">
      <c r="A17" s="19" t="s">
        <v>571</v>
      </c>
      <c r="B17" s="14" t="s">
        <v>15</v>
      </c>
      <c r="C17" s="14" t="s">
        <v>24</v>
      </c>
      <c r="D17" s="14" t="s">
        <v>612</v>
      </c>
      <c r="E17" s="15">
        <f>прил.3!Z24</f>
        <v>142.5</v>
      </c>
      <c r="F17" s="15">
        <f>прил.3!AA24</f>
        <v>0</v>
      </c>
      <c r="G17" s="91">
        <f t="shared" si="0"/>
        <v>0</v>
      </c>
    </row>
    <row r="18" spans="1:7" ht="30.75" customHeight="1" x14ac:dyDescent="0.25">
      <c r="A18" s="13" t="s">
        <v>164</v>
      </c>
      <c r="B18" s="14" t="s">
        <v>15</v>
      </c>
      <c r="C18" s="14" t="s">
        <v>24</v>
      </c>
      <c r="D18" s="14" t="s">
        <v>186</v>
      </c>
      <c r="E18" s="15">
        <f>прил.3!Z27</f>
        <v>1725.4</v>
      </c>
      <c r="F18" s="15">
        <f>прил.3!AA27</f>
        <v>1514.62</v>
      </c>
      <c r="G18" s="91">
        <f t="shared" si="0"/>
        <v>0.87783702329894508</v>
      </c>
    </row>
    <row r="19" spans="1:7" ht="14.25" customHeight="1" x14ac:dyDescent="0.25">
      <c r="A19" s="42" t="s">
        <v>450</v>
      </c>
      <c r="B19" s="11" t="s">
        <v>15</v>
      </c>
      <c r="C19" s="11" t="s">
        <v>46</v>
      </c>
      <c r="D19" s="11" t="s">
        <v>135</v>
      </c>
      <c r="E19" s="12">
        <f>E20</f>
        <v>13.31</v>
      </c>
      <c r="F19" s="12">
        <f>F20</f>
        <v>0</v>
      </c>
      <c r="G19" s="93">
        <f t="shared" si="0"/>
        <v>0</v>
      </c>
    </row>
    <row r="20" spans="1:7" ht="30.75" customHeight="1" x14ac:dyDescent="0.25">
      <c r="A20" s="19" t="s">
        <v>452</v>
      </c>
      <c r="B20" s="14" t="s">
        <v>15</v>
      </c>
      <c r="C20" s="14" t="s">
        <v>46</v>
      </c>
      <c r="D20" s="14" t="s">
        <v>677</v>
      </c>
      <c r="E20" s="15">
        <f>прил.3!Z32</f>
        <v>13.31</v>
      </c>
      <c r="F20" s="15">
        <f>прил.3!AA32</f>
        <v>0</v>
      </c>
      <c r="G20" s="91">
        <f t="shared" si="0"/>
        <v>0</v>
      </c>
    </row>
    <row r="21" spans="1:7" ht="30.75" customHeight="1" x14ac:dyDescent="0.25">
      <c r="A21" s="42" t="s">
        <v>560</v>
      </c>
      <c r="B21" s="11" t="s">
        <v>15</v>
      </c>
      <c r="C21" s="11" t="s">
        <v>98</v>
      </c>
      <c r="D21" s="11" t="s">
        <v>135</v>
      </c>
      <c r="E21" s="12">
        <f>E22</f>
        <v>6048.17</v>
      </c>
      <c r="F21" s="12">
        <f>F22</f>
        <v>5814.67</v>
      </c>
      <c r="G21" s="93">
        <f t="shared" si="0"/>
        <v>0.96139328094283061</v>
      </c>
    </row>
    <row r="22" spans="1:7" ht="18.75" customHeight="1" x14ac:dyDescent="0.25">
      <c r="A22" s="19" t="s">
        <v>253</v>
      </c>
      <c r="B22" s="14" t="s">
        <v>15</v>
      </c>
      <c r="C22" s="14" t="s">
        <v>98</v>
      </c>
      <c r="D22" s="14" t="s">
        <v>106</v>
      </c>
      <c r="E22" s="15">
        <f>прил.3!Z181</f>
        <v>6048.17</v>
      </c>
      <c r="F22" s="15">
        <f>прил.3!AA181</f>
        <v>5814.67</v>
      </c>
      <c r="G22" s="91">
        <f t="shared" si="0"/>
        <v>0.96139328094283061</v>
      </c>
    </row>
    <row r="23" spans="1:7" x14ac:dyDescent="0.25">
      <c r="A23" s="10" t="s">
        <v>26</v>
      </c>
      <c r="B23" s="11" t="s">
        <v>15</v>
      </c>
      <c r="C23" s="11" t="s">
        <v>109</v>
      </c>
      <c r="D23" s="11" t="s">
        <v>135</v>
      </c>
      <c r="E23" s="12">
        <f>E24</f>
        <v>724.21</v>
      </c>
      <c r="F23" s="12">
        <f>F24</f>
        <v>0</v>
      </c>
      <c r="G23" s="93">
        <f t="shared" si="0"/>
        <v>0</v>
      </c>
    </row>
    <row r="24" spans="1:7" x14ac:dyDescent="0.25">
      <c r="A24" s="13" t="s">
        <v>26</v>
      </c>
      <c r="B24" s="14" t="s">
        <v>15</v>
      </c>
      <c r="C24" s="14" t="s">
        <v>109</v>
      </c>
      <c r="D24" s="14" t="s">
        <v>141</v>
      </c>
      <c r="E24" s="15">
        <f>E25</f>
        <v>724.21</v>
      </c>
      <c r="F24" s="15">
        <f>F25</f>
        <v>0</v>
      </c>
      <c r="G24" s="91">
        <f t="shared" si="0"/>
        <v>0</v>
      </c>
    </row>
    <row r="25" spans="1:7" ht="30.75" customHeight="1" x14ac:dyDescent="0.25">
      <c r="A25" s="13" t="s">
        <v>142</v>
      </c>
      <c r="B25" s="14" t="s">
        <v>15</v>
      </c>
      <c r="C25" s="14" t="s">
        <v>109</v>
      </c>
      <c r="D25" s="14" t="s">
        <v>28</v>
      </c>
      <c r="E25" s="15">
        <f>прил.3!Z35</f>
        <v>724.21</v>
      </c>
      <c r="F25" s="15">
        <f>прил.3!AA35</f>
        <v>0</v>
      </c>
      <c r="G25" s="91">
        <f t="shared" si="0"/>
        <v>0</v>
      </c>
    </row>
    <row r="26" spans="1:7" x14ac:dyDescent="0.25">
      <c r="A26" s="13" t="s">
        <v>143</v>
      </c>
      <c r="B26" s="14" t="s">
        <v>15</v>
      </c>
      <c r="C26" s="14" t="s">
        <v>109</v>
      </c>
      <c r="D26" s="14" t="s">
        <v>166</v>
      </c>
      <c r="E26" s="15">
        <v>500</v>
      </c>
      <c r="F26" s="15">
        <v>0</v>
      </c>
      <c r="G26" s="91">
        <f t="shared" si="0"/>
        <v>0</v>
      </c>
    </row>
    <row r="27" spans="1:7" ht="30" customHeight="1" x14ac:dyDescent="0.25">
      <c r="A27" s="13" t="s">
        <v>144</v>
      </c>
      <c r="B27" s="14" t="s">
        <v>15</v>
      </c>
      <c r="C27" s="14" t="s">
        <v>109</v>
      </c>
      <c r="D27" s="14" t="s">
        <v>167</v>
      </c>
      <c r="E27" s="15">
        <f>500-376</f>
        <v>124</v>
      </c>
      <c r="F27" s="15">
        <v>0</v>
      </c>
      <c r="G27" s="91">
        <f t="shared" si="0"/>
        <v>0</v>
      </c>
    </row>
    <row r="28" spans="1:7" x14ac:dyDescent="0.25">
      <c r="A28" s="13" t="s">
        <v>168</v>
      </c>
      <c r="B28" s="14" t="s">
        <v>15</v>
      </c>
      <c r="C28" s="14" t="s">
        <v>109</v>
      </c>
      <c r="D28" s="14" t="s">
        <v>169</v>
      </c>
      <c r="E28" s="15">
        <v>170</v>
      </c>
      <c r="F28" s="15">
        <v>0</v>
      </c>
      <c r="G28" s="91">
        <f t="shared" si="0"/>
        <v>0</v>
      </c>
    </row>
    <row r="29" spans="1:7" x14ac:dyDescent="0.25">
      <c r="A29" s="10" t="s">
        <v>29</v>
      </c>
      <c r="B29" s="11" t="s">
        <v>15</v>
      </c>
      <c r="C29" s="11" t="s">
        <v>195</v>
      </c>
      <c r="D29" s="11" t="s">
        <v>135</v>
      </c>
      <c r="E29" s="12">
        <f>E33+E34+E37+E41++E30+E35+E36+E39</f>
        <v>40423.68</v>
      </c>
      <c r="F29" s="12">
        <f>F33+F34+F37+F41++F30+F35+F36+F39</f>
        <v>40190.17</v>
      </c>
      <c r="G29" s="93">
        <f t="shared" si="0"/>
        <v>0.9942234353725341</v>
      </c>
    </row>
    <row r="30" spans="1:7" ht="15.75" customHeight="1" x14ac:dyDescent="0.25">
      <c r="A30" s="10" t="s">
        <v>31</v>
      </c>
      <c r="B30" s="11" t="s">
        <v>15</v>
      </c>
      <c r="C30" s="11" t="s">
        <v>195</v>
      </c>
      <c r="D30" s="11" t="s">
        <v>187</v>
      </c>
      <c r="E30" s="12">
        <f>E31+E32</f>
        <v>657.40000000000009</v>
      </c>
      <c r="F30" s="12">
        <f>F31+F32</f>
        <v>656.45999999999992</v>
      </c>
      <c r="G30" s="93">
        <f t="shared" si="0"/>
        <v>0.99857012473379958</v>
      </c>
    </row>
    <row r="31" spans="1:7" ht="16.5" customHeight="1" x14ac:dyDescent="0.25">
      <c r="A31" s="13" t="s">
        <v>32</v>
      </c>
      <c r="B31" s="14" t="s">
        <v>40</v>
      </c>
      <c r="C31" s="14" t="s">
        <v>195</v>
      </c>
      <c r="D31" s="14" t="s">
        <v>33</v>
      </c>
      <c r="E31" s="15">
        <f>прил.3!Z38</f>
        <v>654.90000000000009</v>
      </c>
      <c r="F31" s="15">
        <f>прил.3!AA38</f>
        <v>653.95999999999992</v>
      </c>
      <c r="G31" s="91">
        <f t="shared" si="0"/>
        <v>0.99856466636127628</v>
      </c>
    </row>
    <row r="32" spans="1:7" x14ac:dyDescent="0.25">
      <c r="A32" s="13" t="s">
        <v>32</v>
      </c>
      <c r="B32" s="14" t="s">
        <v>15</v>
      </c>
      <c r="C32" s="14" t="s">
        <v>195</v>
      </c>
      <c r="D32" s="14" t="s">
        <v>655</v>
      </c>
      <c r="E32" s="15">
        <f>прил.3!Z45</f>
        <v>2.5</v>
      </c>
      <c r="F32" s="15">
        <f>прил.3!AA45</f>
        <v>2.5</v>
      </c>
      <c r="G32" s="91">
        <f t="shared" si="0"/>
        <v>1</v>
      </c>
    </row>
    <row r="33" spans="1:7" x14ac:dyDescent="0.25">
      <c r="A33" s="13" t="s">
        <v>22</v>
      </c>
      <c r="B33" s="14" t="s">
        <v>15</v>
      </c>
      <c r="C33" s="14" t="s">
        <v>195</v>
      </c>
      <c r="D33" s="14" t="s">
        <v>106</v>
      </c>
      <c r="E33" s="15">
        <f>прил.3!Z47+прил.3!Z52</f>
        <v>374.03000000000003</v>
      </c>
      <c r="F33" s="15">
        <f>прил.3!AA47+прил.3!AA52</f>
        <v>373.76000000000005</v>
      </c>
      <c r="G33" s="91">
        <f t="shared" si="0"/>
        <v>0.99927813277009869</v>
      </c>
    </row>
    <row r="34" spans="1:7" ht="14.25" customHeight="1" x14ac:dyDescent="0.25">
      <c r="A34" s="13" t="s">
        <v>52</v>
      </c>
      <c r="B34" s="14" t="s">
        <v>15</v>
      </c>
      <c r="C34" s="14" t="s">
        <v>195</v>
      </c>
      <c r="D34" s="14" t="s">
        <v>53</v>
      </c>
      <c r="E34" s="15">
        <f>прил.3!Z189+прил.3!Z417</f>
        <v>11528.35</v>
      </c>
      <c r="F34" s="15">
        <f>прил.3!AA189+прил.3!AA417</f>
        <v>11523.84</v>
      </c>
      <c r="G34" s="91">
        <f t="shared" si="0"/>
        <v>0.99960879050341112</v>
      </c>
    </row>
    <row r="35" spans="1:7" ht="29.25" customHeight="1" x14ac:dyDescent="0.25">
      <c r="A35" s="13" t="s">
        <v>34</v>
      </c>
      <c r="B35" s="14" t="s">
        <v>15</v>
      </c>
      <c r="C35" s="14" t="s">
        <v>195</v>
      </c>
      <c r="D35" s="14" t="s">
        <v>35</v>
      </c>
      <c r="E35" s="15">
        <f>прил.3!Z54</f>
        <v>340</v>
      </c>
      <c r="F35" s="15">
        <f>прил.3!AA54</f>
        <v>340</v>
      </c>
      <c r="G35" s="91">
        <f t="shared" si="0"/>
        <v>1</v>
      </c>
    </row>
    <row r="36" spans="1:7" ht="31.5" x14ac:dyDescent="0.25">
      <c r="A36" s="20" t="s">
        <v>36</v>
      </c>
      <c r="B36" s="14" t="s">
        <v>15</v>
      </c>
      <c r="C36" s="14" t="s">
        <v>195</v>
      </c>
      <c r="D36" s="14" t="s">
        <v>37</v>
      </c>
      <c r="E36" s="15">
        <f>прил.3!Z56+прил.3!Z192+прил.3!Z584</f>
        <v>25928.799999999999</v>
      </c>
      <c r="F36" s="15">
        <f>прил.3!AA56+прил.3!AA192+прил.3!AA584</f>
        <v>25908.01</v>
      </c>
      <c r="G36" s="91">
        <f t="shared" si="0"/>
        <v>0.99919818888648915</v>
      </c>
    </row>
    <row r="37" spans="1:7" ht="31.5" x14ac:dyDescent="0.25">
      <c r="A37" s="13" t="s">
        <v>88</v>
      </c>
      <c r="B37" s="14" t="s">
        <v>15</v>
      </c>
      <c r="C37" s="14" t="s">
        <v>195</v>
      </c>
      <c r="D37" s="14" t="s">
        <v>89</v>
      </c>
      <c r="E37" s="15">
        <f>E38</f>
        <v>1424.1</v>
      </c>
      <c r="F37" s="15">
        <f>F38</f>
        <v>1220.5999999999999</v>
      </c>
      <c r="G37" s="91">
        <f t="shared" si="0"/>
        <v>0.8571027315497507</v>
      </c>
    </row>
    <row r="38" spans="1:7" ht="18" customHeight="1" x14ac:dyDescent="0.25">
      <c r="A38" s="13" t="s">
        <v>52</v>
      </c>
      <c r="B38" s="14" t="s">
        <v>15</v>
      </c>
      <c r="C38" s="14" t="s">
        <v>195</v>
      </c>
      <c r="D38" s="14" t="s">
        <v>176</v>
      </c>
      <c r="E38" s="15">
        <f>прил.3!Z562</f>
        <v>1424.1</v>
      </c>
      <c r="F38" s="15">
        <f>прил.3!AA562</f>
        <v>1220.5999999999999</v>
      </c>
      <c r="G38" s="91">
        <f t="shared" si="0"/>
        <v>0.8571027315497507</v>
      </c>
    </row>
    <row r="39" spans="1:7" ht="16.5" customHeight="1" x14ac:dyDescent="0.25">
      <c r="A39" s="73" t="s">
        <v>475</v>
      </c>
      <c r="B39" s="14" t="s">
        <v>15</v>
      </c>
      <c r="C39" s="14" t="s">
        <v>195</v>
      </c>
      <c r="D39" s="14" t="s">
        <v>501</v>
      </c>
      <c r="E39" s="15">
        <f>E40</f>
        <v>50</v>
      </c>
      <c r="F39" s="15">
        <f>F40</f>
        <v>50</v>
      </c>
      <c r="G39" s="91">
        <f t="shared" si="0"/>
        <v>1</v>
      </c>
    </row>
    <row r="40" spans="1:7" ht="17.25" customHeight="1" x14ac:dyDescent="0.25">
      <c r="A40" s="19" t="s">
        <v>674</v>
      </c>
      <c r="B40" s="14" t="s">
        <v>15</v>
      </c>
      <c r="C40" s="14" t="s">
        <v>195</v>
      </c>
      <c r="D40" s="14" t="s">
        <v>675</v>
      </c>
      <c r="E40" s="15">
        <f>прил.3!Z195</f>
        <v>50</v>
      </c>
      <c r="F40" s="15">
        <f>прил.3!AA195</f>
        <v>50</v>
      </c>
      <c r="G40" s="91">
        <f t="shared" si="0"/>
        <v>1</v>
      </c>
    </row>
    <row r="41" spans="1:7" x14ac:dyDescent="0.25">
      <c r="A41" s="13" t="s">
        <v>38</v>
      </c>
      <c r="B41" s="14" t="s">
        <v>15</v>
      </c>
      <c r="C41" s="14" t="s">
        <v>195</v>
      </c>
      <c r="D41" s="14" t="s">
        <v>39</v>
      </c>
      <c r="E41" s="15">
        <f>E42+E43</f>
        <v>121</v>
      </c>
      <c r="F41" s="15">
        <f>F42+F43</f>
        <v>117.5</v>
      </c>
      <c r="G41" s="91">
        <f t="shared" si="0"/>
        <v>0.97107438016528924</v>
      </c>
    </row>
    <row r="42" spans="1:7" ht="30" customHeight="1" x14ac:dyDescent="0.25">
      <c r="A42" s="13" t="s">
        <v>170</v>
      </c>
      <c r="B42" s="14" t="s">
        <v>15</v>
      </c>
      <c r="C42" s="14" t="s">
        <v>195</v>
      </c>
      <c r="D42" s="14" t="s">
        <v>171</v>
      </c>
      <c r="E42" s="15">
        <f>прил.3!Z58</f>
        <v>121</v>
      </c>
      <c r="F42" s="15">
        <f>прил.3!AA58</f>
        <v>117.5</v>
      </c>
      <c r="G42" s="91">
        <f t="shared" si="0"/>
        <v>0.97107438016528924</v>
      </c>
    </row>
    <row r="43" spans="1:7" ht="45.75" hidden="1" customHeight="1" x14ac:dyDescent="0.25">
      <c r="A43" s="19" t="s">
        <v>337</v>
      </c>
      <c r="B43" s="14" t="s">
        <v>15</v>
      </c>
      <c r="C43" s="14" t="s">
        <v>195</v>
      </c>
      <c r="D43" s="40" t="s">
        <v>354</v>
      </c>
      <c r="E43" s="15">
        <f>прил.3!Z196</f>
        <v>0</v>
      </c>
      <c r="F43" s="15">
        <f>прил.3!AA196</f>
        <v>0</v>
      </c>
      <c r="G43" s="91"/>
    </row>
    <row r="44" spans="1:7" x14ac:dyDescent="0.25">
      <c r="A44" s="27" t="s">
        <v>145</v>
      </c>
      <c r="B44" s="11" t="s">
        <v>17</v>
      </c>
      <c r="C44" s="11" t="s">
        <v>16</v>
      </c>
      <c r="D44" s="11" t="s">
        <v>135</v>
      </c>
      <c r="E44" s="12">
        <f>E45</f>
        <v>582.09999999999991</v>
      </c>
      <c r="F44" s="12">
        <f>F45</f>
        <v>582.1</v>
      </c>
      <c r="G44" s="93">
        <f t="shared" si="0"/>
        <v>1.0000000000000002</v>
      </c>
    </row>
    <row r="45" spans="1:7" x14ac:dyDescent="0.25">
      <c r="A45" s="10" t="s">
        <v>188</v>
      </c>
      <c r="B45" s="11" t="s">
        <v>17</v>
      </c>
      <c r="C45" s="11" t="s">
        <v>20</v>
      </c>
      <c r="D45" s="11" t="s">
        <v>135</v>
      </c>
      <c r="E45" s="12">
        <f>E46</f>
        <v>582.09999999999991</v>
      </c>
      <c r="F45" s="12">
        <f>F46</f>
        <v>582.1</v>
      </c>
      <c r="G45" s="93">
        <f t="shared" si="0"/>
        <v>1.0000000000000002</v>
      </c>
    </row>
    <row r="46" spans="1:7" ht="28.5" customHeight="1" x14ac:dyDescent="0.25">
      <c r="A46" s="13" t="s">
        <v>3</v>
      </c>
      <c r="B46" s="14" t="s">
        <v>17</v>
      </c>
      <c r="C46" s="14" t="s">
        <v>20</v>
      </c>
      <c r="D46" s="14" t="s">
        <v>41</v>
      </c>
      <c r="E46" s="15">
        <f>прил.3!Z62</f>
        <v>582.09999999999991</v>
      </c>
      <c r="F46" s="15">
        <f>прил.3!AA62</f>
        <v>582.1</v>
      </c>
      <c r="G46" s="91">
        <f t="shared" si="0"/>
        <v>1.0000000000000002</v>
      </c>
    </row>
    <row r="47" spans="1:7" ht="29.25" x14ac:dyDescent="0.25">
      <c r="A47" s="27" t="s">
        <v>146</v>
      </c>
      <c r="B47" s="11" t="s">
        <v>20</v>
      </c>
      <c r="C47" s="11" t="s">
        <v>16</v>
      </c>
      <c r="D47" s="11" t="s">
        <v>135</v>
      </c>
      <c r="E47" s="12">
        <f>E48</f>
        <v>261.94</v>
      </c>
      <c r="F47" s="12">
        <f>F48</f>
        <v>245.2</v>
      </c>
      <c r="G47" s="93">
        <f t="shared" si="0"/>
        <v>0.93609223486294568</v>
      </c>
    </row>
    <row r="48" spans="1:7" ht="31.5" customHeight="1" x14ac:dyDescent="0.25">
      <c r="A48" s="10" t="s">
        <v>95</v>
      </c>
      <c r="B48" s="11" t="s">
        <v>20</v>
      </c>
      <c r="C48" s="11" t="s">
        <v>63</v>
      </c>
      <c r="D48" s="11" t="s">
        <v>135</v>
      </c>
      <c r="E48" s="12">
        <f>E49</f>
        <v>261.94</v>
      </c>
      <c r="F48" s="12">
        <f>F49</f>
        <v>245.2</v>
      </c>
      <c r="G48" s="93">
        <f t="shared" si="0"/>
        <v>0.93609223486294568</v>
      </c>
    </row>
    <row r="49" spans="1:7" x14ac:dyDescent="0.25">
      <c r="A49" s="13" t="s">
        <v>96</v>
      </c>
      <c r="B49" s="14" t="s">
        <v>20</v>
      </c>
      <c r="C49" s="14" t="s">
        <v>63</v>
      </c>
      <c r="D49" s="14" t="s">
        <v>97</v>
      </c>
      <c r="E49" s="15">
        <f>прил.3!Z71</f>
        <v>261.94</v>
      </c>
      <c r="F49" s="15">
        <f>прил.3!AA71</f>
        <v>245.2</v>
      </c>
      <c r="G49" s="91">
        <f t="shared" si="0"/>
        <v>0.93609223486294568</v>
      </c>
    </row>
    <row r="50" spans="1:7" x14ac:dyDescent="0.25">
      <c r="A50" s="27" t="s">
        <v>42</v>
      </c>
      <c r="B50" s="11" t="s">
        <v>24</v>
      </c>
      <c r="C50" s="11" t="s">
        <v>16</v>
      </c>
      <c r="D50" s="11" t="s">
        <v>135</v>
      </c>
      <c r="E50" s="12">
        <f>E51+E53+E73+E76+E64</f>
        <v>178948.15000000002</v>
      </c>
      <c r="F50" s="12">
        <f>F51+F53+F73+F76+F64</f>
        <v>82812.069999999992</v>
      </c>
      <c r="G50" s="93">
        <f t="shared" si="0"/>
        <v>0.46277131113118508</v>
      </c>
    </row>
    <row r="51" spans="1:7" x14ac:dyDescent="0.25">
      <c r="A51" s="54" t="s">
        <v>307</v>
      </c>
      <c r="B51" s="14" t="s">
        <v>24</v>
      </c>
      <c r="C51" s="14" t="s">
        <v>15</v>
      </c>
      <c r="D51" s="14" t="s">
        <v>135</v>
      </c>
      <c r="E51" s="15">
        <f>E52</f>
        <v>120</v>
      </c>
      <c r="F51" s="15">
        <f>F52</f>
        <v>0</v>
      </c>
      <c r="G51" s="91">
        <f t="shared" si="0"/>
        <v>0</v>
      </c>
    </row>
    <row r="52" spans="1:7" ht="28.5" customHeight="1" x14ac:dyDescent="0.25">
      <c r="A52" s="54" t="s">
        <v>356</v>
      </c>
      <c r="B52" s="14" t="s">
        <v>24</v>
      </c>
      <c r="C52" s="14" t="s">
        <v>15</v>
      </c>
      <c r="D52" s="14" t="s">
        <v>39</v>
      </c>
      <c r="E52" s="15">
        <f>прил.3!Z356</f>
        <v>120</v>
      </c>
      <c r="F52" s="15">
        <f>прил.3!AA356</f>
        <v>0</v>
      </c>
      <c r="G52" s="91">
        <f t="shared" si="0"/>
        <v>0</v>
      </c>
    </row>
    <row r="53" spans="1:7" ht="15" customHeight="1" x14ac:dyDescent="0.25">
      <c r="A53" s="63" t="s">
        <v>180</v>
      </c>
      <c r="B53" s="11" t="s">
        <v>24</v>
      </c>
      <c r="C53" s="11" t="s">
        <v>17</v>
      </c>
      <c r="D53" s="11" t="s">
        <v>135</v>
      </c>
      <c r="E53" s="12">
        <f>E54+E58</f>
        <v>5091.8100000000004</v>
      </c>
      <c r="F53" s="12">
        <f>F54+F58</f>
        <v>2982.6</v>
      </c>
      <c r="G53" s="93">
        <f t="shared" si="0"/>
        <v>0.58576419779999644</v>
      </c>
    </row>
    <row r="54" spans="1:7" ht="18" customHeight="1" x14ac:dyDescent="0.25">
      <c r="A54" s="62" t="s">
        <v>475</v>
      </c>
      <c r="B54" s="11" t="s">
        <v>24</v>
      </c>
      <c r="C54" s="11" t="s">
        <v>17</v>
      </c>
      <c r="D54" s="11" t="s">
        <v>501</v>
      </c>
      <c r="E54" s="12">
        <f>SUM(E55:E57)</f>
        <v>2574.33</v>
      </c>
      <c r="F54" s="12">
        <f>SUM(F55:F57)</f>
        <v>1014.13</v>
      </c>
      <c r="G54" s="93">
        <f t="shared" si="0"/>
        <v>0.39393939393939392</v>
      </c>
    </row>
    <row r="55" spans="1:7" ht="30.75" customHeight="1" x14ac:dyDescent="0.25">
      <c r="A55" s="45" t="s">
        <v>465</v>
      </c>
      <c r="B55" s="14" t="s">
        <v>24</v>
      </c>
      <c r="C55" s="14" t="s">
        <v>17</v>
      </c>
      <c r="D55" s="14" t="s">
        <v>497</v>
      </c>
      <c r="E55" s="15">
        <f>прил.3!Z471</f>
        <v>13.120000000000001</v>
      </c>
      <c r="F55" s="15">
        <f>прил.3!AA471</f>
        <v>11.26</v>
      </c>
      <c r="G55" s="91">
        <f t="shared" si="0"/>
        <v>0.8582317073170731</v>
      </c>
    </row>
    <row r="56" spans="1:7" ht="33.75" customHeight="1" x14ac:dyDescent="0.25">
      <c r="A56" s="45" t="s">
        <v>466</v>
      </c>
      <c r="B56" s="14" t="s">
        <v>24</v>
      </c>
      <c r="C56" s="14" t="s">
        <v>17</v>
      </c>
      <c r="D56" s="14" t="s">
        <v>498</v>
      </c>
      <c r="E56" s="15">
        <f>прил.3!Z473</f>
        <v>2234.5700000000002</v>
      </c>
      <c r="F56" s="15">
        <f>прил.3!AA473</f>
        <v>710.11</v>
      </c>
      <c r="G56" s="91">
        <f t="shared" si="0"/>
        <v>0.31778373467826021</v>
      </c>
    </row>
    <row r="57" spans="1:7" ht="28.5" customHeight="1" x14ac:dyDescent="0.25">
      <c r="A57" s="45" t="s">
        <v>468</v>
      </c>
      <c r="B57" s="14" t="s">
        <v>24</v>
      </c>
      <c r="C57" s="14" t="s">
        <v>17</v>
      </c>
      <c r="D57" s="14" t="s">
        <v>499</v>
      </c>
      <c r="E57" s="15">
        <f>прил.3!Z475</f>
        <v>326.64</v>
      </c>
      <c r="F57" s="15">
        <f>прил.3!AA475</f>
        <v>292.76</v>
      </c>
      <c r="G57" s="91">
        <f t="shared" si="0"/>
        <v>0.89627724712221402</v>
      </c>
    </row>
    <row r="58" spans="1:7" ht="18.75" customHeight="1" x14ac:dyDescent="0.25">
      <c r="A58" s="42" t="s">
        <v>476</v>
      </c>
      <c r="B58" s="11" t="s">
        <v>24</v>
      </c>
      <c r="C58" s="11" t="s">
        <v>17</v>
      </c>
      <c r="D58" s="11" t="s">
        <v>39</v>
      </c>
      <c r="E58" s="12">
        <f>SUM(E59:E63)</f>
        <v>2517.4800000000005</v>
      </c>
      <c r="F58" s="12">
        <f>SUM(F59:F63)</f>
        <v>1968.47</v>
      </c>
      <c r="G58" s="93">
        <f t="shared" si="0"/>
        <v>0.78192080969858735</v>
      </c>
    </row>
    <row r="59" spans="1:7" ht="48.75" customHeight="1" x14ac:dyDescent="0.25">
      <c r="A59" s="19" t="s">
        <v>638</v>
      </c>
      <c r="B59" s="14" t="s">
        <v>24</v>
      </c>
      <c r="C59" s="14" t="s">
        <v>17</v>
      </c>
      <c r="D59" s="14" t="s">
        <v>662</v>
      </c>
      <c r="E59" s="15">
        <f>прил.3!Z203</f>
        <v>644.08000000000004</v>
      </c>
      <c r="F59" s="15">
        <f>прил.3!AA203</f>
        <v>362.5</v>
      </c>
      <c r="G59" s="91">
        <f t="shared" si="0"/>
        <v>0.56281828344305052</v>
      </c>
    </row>
    <row r="60" spans="1:7" ht="31.5" customHeight="1" x14ac:dyDescent="0.25">
      <c r="A60" s="1" t="s">
        <v>393</v>
      </c>
      <c r="B60" s="14" t="s">
        <v>24</v>
      </c>
      <c r="C60" s="14" t="s">
        <v>17</v>
      </c>
      <c r="D60" s="14" t="s">
        <v>181</v>
      </c>
      <c r="E60" s="15">
        <f>прил.3!Z200+прил.3!Z433+прил.3!Z456+прил.3!Z565+прил.3!Z425</f>
        <v>1085.3700000000001</v>
      </c>
      <c r="F60" s="15">
        <f>прил.3!AA200+прил.3!AA433+прил.3!AA456+прил.3!AA565+прил.3!AA425</f>
        <v>881.7600000000001</v>
      </c>
      <c r="G60" s="91">
        <f t="shared" si="0"/>
        <v>0.81240498631802982</v>
      </c>
    </row>
    <row r="61" spans="1:7" ht="31.5" x14ac:dyDescent="0.25">
      <c r="A61" s="45" t="s">
        <v>468</v>
      </c>
      <c r="B61" s="14" t="s">
        <v>24</v>
      </c>
      <c r="C61" s="14" t="s">
        <v>17</v>
      </c>
      <c r="D61" s="14" t="s">
        <v>173</v>
      </c>
      <c r="E61" s="15">
        <f>прил.3!Z478</f>
        <v>500.19</v>
      </c>
      <c r="F61" s="15">
        <f>прил.3!AA478</f>
        <v>439.89</v>
      </c>
      <c r="G61" s="91">
        <f t="shared" si="0"/>
        <v>0.87944581059197502</v>
      </c>
    </row>
    <row r="62" spans="1:7" ht="32.25" customHeight="1" x14ac:dyDescent="0.25">
      <c r="A62" s="45" t="s">
        <v>465</v>
      </c>
      <c r="B62" s="14" t="s">
        <v>24</v>
      </c>
      <c r="C62" s="14" t="s">
        <v>17</v>
      </c>
      <c r="D62" s="14" t="s">
        <v>500</v>
      </c>
      <c r="E62" s="15">
        <f>прил.3!Z481</f>
        <v>40.340000000000003</v>
      </c>
      <c r="F62" s="15">
        <f>прил.3!AA481</f>
        <v>37.25</v>
      </c>
      <c r="G62" s="91">
        <f t="shared" si="0"/>
        <v>0.92340109072880505</v>
      </c>
    </row>
    <row r="63" spans="1:7" ht="30.75" customHeight="1" x14ac:dyDescent="0.25">
      <c r="A63" s="45" t="s">
        <v>466</v>
      </c>
      <c r="B63" s="14" t="s">
        <v>24</v>
      </c>
      <c r="C63" s="14" t="s">
        <v>17</v>
      </c>
      <c r="D63" s="14" t="s">
        <v>626</v>
      </c>
      <c r="E63" s="15">
        <f>прил.3!Z484</f>
        <v>247.5</v>
      </c>
      <c r="F63" s="15">
        <f>прил.3!AA484</f>
        <v>247.07</v>
      </c>
      <c r="G63" s="91">
        <f t="shared" si="0"/>
        <v>0.99826262626262618</v>
      </c>
    </row>
    <row r="64" spans="1:7" x14ac:dyDescent="0.25">
      <c r="A64" s="42" t="s">
        <v>239</v>
      </c>
      <c r="B64" s="11" t="s">
        <v>24</v>
      </c>
      <c r="C64" s="11" t="s">
        <v>98</v>
      </c>
      <c r="D64" s="64" t="s">
        <v>135</v>
      </c>
      <c r="E64" s="12">
        <f>E65+E67+E70+E66</f>
        <v>135471.01</v>
      </c>
      <c r="F64" s="12">
        <f>F65+F67+F70+F66</f>
        <v>49807.369999999995</v>
      </c>
      <c r="G64" s="93">
        <f t="shared" si="0"/>
        <v>0.3676607268226611</v>
      </c>
    </row>
    <row r="65" spans="1:7" ht="60" customHeight="1" x14ac:dyDescent="0.25">
      <c r="A65" s="19" t="s">
        <v>479</v>
      </c>
      <c r="B65" s="14" t="s">
        <v>24</v>
      </c>
      <c r="C65" s="14" t="s">
        <v>98</v>
      </c>
      <c r="D65" s="14" t="s">
        <v>502</v>
      </c>
      <c r="E65" s="15">
        <f>прил.3!Z488+прил.3!Z75</f>
        <v>77941.440000000002</v>
      </c>
      <c r="F65" s="15">
        <f>прил.3!AA488+прил.3!AA75</f>
        <v>29534.589999999997</v>
      </c>
      <c r="G65" s="91">
        <f t="shared" si="0"/>
        <v>0.37893308104135615</v>
      </c>
    </row>
    <row r="66" spans="1:7" ht="60" customHeight="1" x14ac:dyDescent="0.25">
      <c r="A66" s="19" t="s">
        <v>599</v>
      </c>
      <c r="B66" s="14" t="s">
        <v>24</v>
      </c>
      <c r="C66" s="14" t="s">
        <v>98</v>
      </c>
      <c r="D66" s="14" t="s">
        <v>502</v>
      </c>
      <c r="E66" s="15">
        <f>прил.3!Z489</f>
        <v>41884.94</v>
      </c>
      <c r="F66" s="15">
        <f>прил.3!AA489</f>
        <v>14027.41</v>
      </c>
      <c r="G66" s="91">
        <f t="shared" si="0"/>
        <v>0.3349034282966622</v>
      </c>
    </row>
    <row r="67" spans="1:7" x14ac:dyDescent="0.25">
      <c r="A67" s="62" t="s">
        <v>475</v>
      </c>
      <c r="B67" s="14" t="s">
        <v>24</v>
      </c>
      <c r="C67" s="14" t="s">
        <v>98</v>
      </c>
      <c r="D67" s="14" t="s">
        <v>501</v>
      </c>
      <c r="E67" s="15">
        <f>E68+E69</f>
        <v>8610.2000000000007</v>
      </c>
      <c r="F67" s="15">
        <f>F68+F69</f>
        <v>3851.23</v>
      </c>
      <c r="G67" s="91">
        <f t="shared" si="0"/>
        <v>0.44728693874706738</v>
      </c>
    </row>
    <row r="68" spans="1:7" ht="47.25" x14ac:dyDescent="0.25">
      <c r="A68" s="19" t="s">
        <v>478</v>
      </c>
      <c r="B68" s="14" t="s">
        <v>24</v>
      </c>
      <c r="C68" s="14" t="s">
        <v>98</v>
      </c>
      <c r="D68" s="14" t="s">
        <v>503</v>
      </c>
      <c r="E68" s="15">
        <f>прил.3!Z493</f>
        <v>2831.42</v>
      </c>
      <c r="F68" s="15">
        <f>прил.3!AA493</f>
        <v>1000</v>
      </c>
      <c r="G68" s="91">
        <f t="shared" si="0"/>
        <v>0.35317967662868804</v>
      </c>
    </row>
    <row r="69" spans="1:7" ht="77.25" customHeight="1" x14ac:dyDescent="0.25">
      <c r="A69" s="19" t="s">
        <v>479</v>
      </c>
      <c r="B69" s="14" t="s">
        <v>24</v>
      </c>
      <c r="C69" s="14" t="s">
        <v>98</v>
      </c>
      <c r="D69" s="14" t="s">
        <v>504</v>
      </c>
      <c r="E69" s="15">
        <f>прил.3!Z491+прил.3!Z77</f>
        <v>5778.78</v>
      </c>
      <c r="F69" s="15">
        <f>прил.3!AA491+прил.3!AA77</f>
        <v>2851.23</v>
      </c>
      <c r="G69" s="91">
        <f t="shared" si="0"/>
        <v>0.49339653006343903</v>
      </c>
    </row>
    <row r="70" spans="1:7" x14ac:dyDescent="0.25">
      <c r="A70" s="42" t="s">
        <v>476</v>
      </c>
      <c r="B70" s="14" t="s">
        <v>24</v>
      </c>
      <c r="C70" s="14" t="s">
        <v>98</v>
      </c>
      <c r="D70" s="14" t="s">
        <v>39</v>
      </c>
      <c r="E70" s="15">
        <f>SUM(E71:E72)</f>
        <v>7034.43</v>
      </c>
      <c r="F70" s="15">
        <f>SUM(F71:F72)</f>
        <v>2394.1400000000003</v>
      </c>
      <c r="G70" s="91">
        <f t="shared" si="0"/>
        <v>0.34034598396742882</v>
      </c>
    </row>
    <row r="71" spans="1:7" ht="62.25" customHeight="1" x14ac:dyDescent="0.25">
      <c r="A71" s="19" t="s">
        <v>479</v>
      </c>
      <c r="B71" s="14" t="s">
        <v>24</v>
      </c>
      <c r="C71" s="14" t="s">
        <v>98</v>
      </c>
      <c r="D71" s="14" t="s">
        <v>182</v>
      </c>
      <c r="E71" s="15">
        <f>прил.3!Z498+прил.3!Z80</f>
        <v>3951.7</v>
      </c>
      <c r="F71" s="15">
        <f>прил.3!AA498+прил.3!AA80</f>
        <v>2312.5700000000002</v>
      </c>
      <c r="G71" s="91">
        <f t="shared" si="0"/>
        <v>0.58520889743654636</v>
      </c>
    </row>
    <row r="72" spans="1:7" ht="47.25" x14ac:dyDescent="0.25">
      <c r="A72" s="19" t="s">
        <v>478</v>
      </c>
      <c r="B72" s="14" t="s">
        <v>24</v>
      </c>
      <c r="C72" s="14" t="s">
        <v>98</v>
      </c>
      <c r="D72" s="14" t="s">
        <v>505</v>
      </c>
      <c r="E72" s="15">
        <f>прил.3!Z496</f>
        <v>3082.73</v>
      </c>
      <c r="F72" s="15">
        <f>прил.3!AA496</f>
        <v>81.569999999999993</v>
      </c>
      <c r="G72" s="91">
        <f t="shared" si="0"/>
        <v>2.6460312774715916E-2</v>
      </c>
    </row>
    <row r="73" spans="1:7" x14ac:dyDescent="0.25">
      <c r="A73" s="18" t="s">
        <v>333</v>
      </c>
      <c r="B73" s="11" t="s">
        <v>24</v>
      </c>
      <c r="C73" s="11" t="s">
        <v>63</v>
      </c>
      <c r="D73" s="64" t="s">
        <v>135</v>
      </c>
      <c r="E73" s="12">
        <f>E75+E74</f>
        <v>33962.36</v>
      </c>
      <c r="F73" s="12">
        <f>F75+F74</f>
        <v>26064.34</v>
      </c>
      <c r="G73" s="93">
        <f t="shared" si="0"/>
        <v>0.767447845202748</v>
      </c>
    </row>
    <row r="74" spans="1:7" ht="31.5" x14ac:dyDescent="0.25">
      <c r="A74" s="45" t="s">
        <v>334</v>
      </c>
      <c r="B74" s="14" t="s">
        <v>24</v>
      </c>
      <c r="C74" s="14" t="s">
        <v>63</v>
      </c>
      <c r="D74" s="17" t="s">
        <v>547</v>
      </c>
      <c r="E74" s="15">
        <f>прил.3!Z501</f>
        <v>29391.11</v>
      </c>
      <c r="F74" s="15">
        <f>прил.3!AA501</f>
        <v>21888.34</v>
      </c>
      <c r="G74" s="91">
        <f t="shared" si="0"/>
        <v>0.74472655166817447</v>
      </c>
    </row>
    <row r="75" spans="1:7" ht="28.5" customHeight="1" x14ac:dyDescent="0.25">
      <c r="A75" s="45" t="s">
        <v>334</v>
      </c>
      <c r="B75" s="14" t="s">
        <v>24</v>
      </c>
      <c r="C75" s="14" t="s">
        <v>63</v>
      </c>
      <c r="D75" s="40" t="s">
        <v>357</v>
      </c>
      <c r="E75" s="15">
        <f>прил.3!Z506</f>
        <v>4571.25</v>
      </c>
      <c r="F75" s="15">
        <f>прил.3!AA506</f>
        <v>4176</v>
      </c>
      <c r="G75" s="91">
        <f t="shared" si="0"/>
        <v>0.91353568498769488</v>
      </c>
    </row>
    <row r="76" spans="1:7" ht="14.25" customHeight="1" x14ac:dyDescent="0.25">
      <c r="A76" s="10" t="s">
        <v>172</v>
      </c>
      <c r="B76" s="11" t="s">
        <v>24</v>
      </c>
      <c r="C76" s="11" t="s">
        <v>27</v>
      </c>
      <c r="D76" s="11" t="s">
        <v>135</v>
      </c>
      <c r="E76" s="12">
        <f>E77+E79+E80</f>
        <v>4302.97</v>
      </c>
      <c r="F76" s="12">
        <f>F77+F79+F80</f>
        <v>3957.76</v>
      </c>
      <c r="G76" s="93">
        <f t="shared" si="0"/>
        <v>0.91977401655135871</v>
      </c>
    </row>
    <row r="77" spans="1:7" ht="31.5" x14ac:dyDescent="0.25">
      <c r="A77" s="19" t="s">
        <v>36</v>
      </c>
      <c r="B77" s="14" t="s">
        <v>24</v>
      </c>
      <c r="C77" s="14" t="s">
        <v>27</v>
      </c>
      <c r="D77" s="14" t="s">
        <v>37</v>
      </c>
      <c r="E77" s="15">
        <f>E78</f>
        <v>3932.6000000000004</v>
      </c>
      <c r="F77" s="15">
        <f>F78</f>
        <v>3926.9500000000003</v>
      </c>
      <c r="G77" s="91">
        <f t="shared" si="0"/>
        <v>0.99856329146111988</v>
      </c>
    </row>
    <row r="78" spans="1:7" ht="15" customHeight="1" x14ac:dyDescent="0.25">
      <c r="A78" s="13" t="s">
        <v>52</v>
      </c>
      <c r="B78" s="14" t="s">
        <v>24</v>
      </c>
      <c r="C78" s="14" t="s">
        <v>27</v>
      </c>
      <c r="D78" s="14" t="s">
        <v>358</v>
      </c>
      <c r="E78" s="15">
        <f>прил.3!Z511</f>
        <v>3932.6000000000004</v>
      </c>
      <c r="F78" s="15">
        <f>прил.3!AA511</f>
        <v>3926.9500000000003</v>
      </c>
      <c r="G78" s="91">
        <f t="shared" si="0"/>
        <v>0.99856329146111988</v>
      </c>
    </row>
    <row r="79" spans="1:7" ht="65.25" customHeight="1" x14ac:dyDescent="0.25">
      <c r="A79" s="19" t="s">
        <v>658</v>
      </c>
      <c r="B79" s="14" t="s">
        <v>24</v>
      </c>
      <c r="C79" s="14" t="s">
        <v>27</v>
      </c>
      <c r="D79" s="14" t="s">
        <v>657</v>
      </c>
      <c r="E79" s="15">
        <f>прил.3!Z84</f>
        <v>70.37</v>
      </c>
      <c r="F79" s="15">
        <f>прил.3!AA84</f>
        <v>30.81</v>
      </c>
      <c r="G79" s="91">
        <f t="shared" ref="G79:G142" si="1">F79/E79</f>
        <v>0.43782862015063234</v>
      </c>
    </row>
    <row r="80" spans="1:7" ht="45.75" customHeight="1" x14ac:dyDescent="0.25">
      <c r="A80" s="19" t="s">
        <v>337</v>
      </c>
      <c r="B80" s="14" t="s">
        <v>24</v>
      </c>
      <c r="C80" s="14" t="s">
        <v>27</v>
      </c>
      <c r="D80" s="14" t="s">
        <v>354</v>
      </c>
      <c r="E80" s="15">
        <f>прил.3!Z86</f>
        <v>300</v>
      </c>
      <c r="F80" s="15">
        <f>прил.3!AA86</f>
        <v>0</v>
      </c>
      <c r="G80" s="91">
        <f t="shared" si="1"/>
        <v>0</v>
      </c>
    </row>
    <row r="81" spans="1:7" hidden="1" x14ac:dyDescent="0.25">
      <c r="A81" s="19"/>
      <c r="B81" s="14"/>
      <c r="C81" s="14"/>
      <c r="D81" s="40"/>
      <c r="E81" s="15"/>
      <c r="F81" s="15"/>
      <c r="G81" s="91" t="e">
        <f t="shared" si="1"/>
        <v>#DIV/0!</v>
      </c>
    </row>
    <row r="82" spans="1:7" x14ac:dyDescent="0.25">
      <c r="A82" s="27" t="s">
        <v>45</v>
      </c>
      <c r="B82" s="11" t="s">
        <v>46</v>
      </c>
      <c r="C82" s="11" t="s">
        <v>16</v>
      </c>
      <c r="D82" s="11" t="s">
        <v>135</v>
      </c>
      <c r="E82" s="12">
        <f>E95+E100+E85+E83</f>
        <v>49861.920000000006</v>
      </c>
      <c r="F82" s="12">
        <f>F95+F100+F85+F83</f>
        <v>42365.69</v>
      </c>
      <c r="G82" s="93">
        <f t="shared" si="1"/>
        <v>0.84966022166815869</v>
      </c>
    </row>
    <row r="83" spans="1:7" x14ac:dyDescent="0.25">
      <c r="A83" s="42" t="s">
        <v>492</v>
      </c>
      <c r="B83" s="11" t="s">
        <v>46</v>
      </c>
      <c r="C83" s="11" t="s">
        <v>15</v>
      </c>
      <c r="D83" s="11" t="s">
        <v>135</v>
      </c>
      <c r="E83" s="12">
        <f>E84</f>
        <v>2500</v>
      </c>
      <c r="F83" s="12">
        <f>F84</f>
        <v>1300</v>
      </c>
      <c r="G83" s="93">
        <f t="shared" si="1"/>
        <v>0.52</v>
      </c>
    </row>
    <row r="84" spans="1:7" x14ac:dyDescent="0.25">
      <c r="A84" s="19" t="s">
        <v>493</v>
      </c>
      <c r="B84" s="14" t="s">
        <v>46</v>
      </c>
      <c r="C84" s="14" t="s">
        <v>15</v>
      </c>
      <c r="D84" s="40" t="s">
        <v>488</v>
      </c>
      <c r="E84" s="15">
        <f>прил.3!Z90</f>
        <v>2500</v>
      </c>
      <c r="F84" s="15">
        <f>прил.3!AA90</f>
        <v>1300</v>
      </c>
      <c r="G84" s="91">
        <f t="shared" si="1"/>
        <v>0.52</v>
      </c>
    </row>
    <row r="85" spans="1:7" x14ac:dyDescent="0.25">
      <c r="A85" s="10" t="s">
        <v>47</v>
      </c>
      <c r="B85" s="11" t="s">
        <v>46</v>
      </c>
      <c r="C85" s="11" t="s">
        <v>17</v>
      </c>
      <c r="D85" s="11" t="s">
        <v>135</v>
      </c>
      <c r="E85" s="12">
        <f>E88+E93+E89+E94+E91+E92+E90+E87</f>
        <v>41661.050000000003</v>
      </c>
      <c r="F85" s="12">
        <f>F88+F93+F89+F94+F91+F92+F90+F87</f>
        <v>35733.93</v>
      </c>
      <c r="G85" s="93">
        <f t="shared" si="1"/>
        <v>0.85772994199618102</v>
      </c>
    </row>
    <row r="86" spans="1:7" hidden="1" x14ac:dyDescent="0.25">
      <c r="A86" s="13"/>
      <c r="B86" s="14"/>
      <c r="C86" s="14"/>
      <c r="D86" s="14"/>
      <c r="E86" s="15"/>
      <c r="F86" s="15"/>
      <c r="G86" s="91" t="e">
        <f t="shared" si="1"/>
        <v>#DIV/0!</v>
      </c>
    </row>
    <row r="87" spans="1:7" ht="31.5" x14ac:dyDescent="0.25">
      <c r="A87" s="19" t="s">
        <v>597</v>
      </c>
      <c r="B87" s="14" t="s">
        <v>46</v>
      </c>
      <c r="C87" s="14" t="s">
        <v>17</v>
      </c>
      <c r="D87" s="14" t="s">
        <v>502</v>
      </c>
      <c r="E87" s="15">
        <f>прил.3!Z525</f>
        <v>24678.75</v>
      </c>
      <c r="F87" s="15">
        <f>прил.3!AA525</f>
        <v>22020.329999999998</v>
      </c>
      <c r="G87" s="91">
        <f t="shared" si="1"/>
        <v>0.89227898495669344</v>
      </c>
    </row>
    <row r="88" spans="1:7" ht="46.5" customHeight="1" x14ac:dyDescent="0.25">
      <c r="A88" s="19" t="s">
        <v>257</v>
      </c>
      <c r="B88" s="14" t="s">
        <v>46</v>
      </c>
      <c r="C88" s="14" t="s">
        <v>17</v>
      </c>
      <c r="D88" s="14" t="s">
        <v>391</v>
      </c>
      <c r="E88" s="15">
        <f>прил.3!Z207</f>
        <v>8838.11</v>
      </c>
      <c r="F88" s="15">
        <f>прил.3!AA207</f>
        <v>8768.42</v>
      </c>
      <c r="G88" s="91">
        <f t="shared" si="1"/>
        <v>0.99211482998061795</v>
      </c>
    </row>
    <row r="89" spans="1:7" x14ac:dyDescent="0.25">
      <c r="A89" s="20" t="s">
        <v>390</v>
      </c>
      <c r="B89" s="14" t="s">
        <v>46</v>
      </c>
      <c r="C89" s="14" t="s">
        <v>17</v>
      </c>
      <c r="D89" s="14" t="s">
        <v>212</v>
      </c>
      <c r="E89" s="15">
        <f>прил.3!Z529+прил.3!Z94</f>
        <v>1962.2800000000002</v>
      </c>
      <c r="F89" s="15">
        <f>прил.3!AA529+прил.3!AA94</f>
        <v>1760.84</v>
      </c>
      <c r="G89" s="91">
        <f t="shared" si="1"/>
        <v>0.89734390606845083</v>
      </c>
    </row>
    <row r="90" spans="1:7" ht="63" x14ac:dyDescent="0.25">
      <c r="A90" s="19" t="s">
        <v>609</v>
      </c>
      <c r="B90" s="14" t="s">
        <v>46</v>
      </c>
      <c r="C90" s="14" t="s">
        <v>17</v>
      </c>
      <c r="D90" s="14" t="s">
        <v>613</v>
      </c>
      <c r="E90" s="15">
        <f>прил.3!Z96</f>
        <v>1550.3</v>
      </c>
      <c r="F90" s="15">
        <f>прил.3!AA96</f>
        <v>0</v>
      </c>
      <c r="G90" s="91">
        <f t="shared" si="1"/>
        <v>0</v>
      </c>
    </row>
    <row r="91" spans="1:7" ht="45" x14ac:dyDescent="0.25">
      <c r="A91" s="43" t="s">
        <v>482</v>
      </c>
      <c r="B91" s="14" t="s">
        <v>46</v>
      </c>
      <c r="C91" s="14" t="s">
        <v>17</v>
      </c>
      <c r="D91" s="14" t="s">
        <v>506</v>
      </c>
      <c r="E91" s="15">
        <f>прил.3!Z531</f>
        <v>1189.49</v>
      </c>
      <c r="F91" s="15">
        <f>прил.3!AA531</f>
        <v>1059.72</v>
      </c>
      <c r="G91" s="91">
        <f t="shared" si="1"/>
        <v>0.89090282389931819</v>
      </c>
    </row>
    <row r="92" spans="1:7" ht="45" x14ac:dyDescent="0.25">
      <c r="A92" s="43" t="s">
        <v>482</v>
      </c>
      <c r="B92" s="14" t="s">
        <v>46</v>
      </c>
      <c r="C92" s="14" t="s">
        <v>17</v>
      </c>
      <c r="D92" s="14" t="s">
        <v>507</v>
      </c>
      <c r="E92" s="15">
        <f>прил.3!Z533+прил.3!Z98</f>
        <v>1784.2200000000003</v>
      </c>
      <c r="F92" s="15">
        <f>прил.3!AA533+прил.3!AA98</f>
        <v>1631.1200000000001</v>
      </c>
      <c r="G92" s="91">
        <f t="shared" si="1"/>
        <v>0.91419219602963753</v>
      </c>
    </row>
    <row r="93" spans="1:7" ht="45.75" customHeight="1" x14ac:dyDescent="0.25">
      <c r="A93" s="1" t="s">
        <v>400</v>
      </c>
      <c r="B93" s="14" t="s">
        <v>46</v>
      </c>
      <c r="C93" s="14" t="s">
        <v>17</v>
      </c>
      <c r="D93" s="17" t="s">
        <v>213</v>
      </c>
      <c r="E93" s="15">
        <f>прил.3!Z535</f>
        <v>493.5</v>
      </c>
      <c r="F93" s="15">
        <f>прил.3!AA535</f>
        <v>493.5</v>
      </c>
      <c r="G93" s="91">
        <f t="shared" si="1"/>
        <v>1</v>
      </c>
    </row>
    <row r="94" spans="1:7" ht="33" customHeight="1" x14ac:dyDescent="0.25">
      <c r="A94" s="43" t="s">
        <v>682</v>
      </c>
      <c r="B94" s="14" t="s">
        <v>46</v>
      </c>
      <c r="C94" s="14" t="s">
        <v>17</v>
      </c>
      <c r="D94" s="17" t="s">
        <v>505</v>
      </c>
      <c r="E94" s="15">
        <f>прил.3!Z537</f>
        <v>1164.4000000000001</v>
      </c>
      <c r="F94" s="15">
        <f>прил.3!AA537</f>
        <v>0</v>
      </c>
      <c r="G94" s="91">
        <f t="shared" si="1"/>
        <v>0</v>
      </c>
    </row>
    <row r="95" spans="1:7" x14ac:dyDescent="0.25">
      <c r="A95" s="10" t="s">
        <v>48</v>
      </c>
      <c r="B95" s="11" t="s">
        <v>46</v>
      </c>
      <c r="C95" s="11" t="s">
        <v>20</v>
      </c>
      <c r="D95" s="11" t="s">
        <v>135</v>
      </c>
      <c r="E95" s="12">
        <f>E96+E97+E98+E99</f>
        <v>3583.7999999999997</v>
      </c>
      <c r="F95" s="12">
        <f>F96+F97+F98+F99</f>
        <v>3482.5899999999997</v>
      </c>
      <c r="G95" s="93">
        <f t="shared" si="1"/>
        <v>0.97175902673140246</v>
      </c>
    </row>
    <row r="96" spans="1:7" x14ac:dyDescent="0.25">
      <c r="A96" s="19" t="s">
        <v>496</v>
      </c>
      <c r="B96" s="14" t="s">
        <v>46</v>
      </c>
      <c r="C96" s="14" t="s">
        <v>20</v>
      </c>
      <c r="D96" s="14" t="s">
        <v>508</v>
      </c>
      <c r="E96" s="15">
        <f>прил.3!Z101</f>
        <v>2171</v>
      </c>
      <c r="F96" s="15">
        <f>прил.3!AA101</f>
        <v>2171</v>
      </c>
      <c r="G96" s="91">
        <f t="shared" si="1"/>
        <v>1</v>
      </c>
    </row>
    <row r="97" spans="1:7" x14ac:dyDescent="0.25">
      <c r="A97" s="13" t="s">
        <v>99</v>
      </c>
      <c r="B97" s="14" t="s">
        <v>46</v>
      </c>
      <c r="C97" s="14" t="s">
        <v>20</v>
      </c>
      <c r="D97" s="14" t="s">
        <v>100</v>
      </c>
      <c r="E97" s="21">
        <f>прил.3!Z210</f>
        <v>516.64</v>
      </c>
      <c r="F97" s="21">
        <f>прил.3!AA210</f>
        <v>516.64</v>
      </c>
      <c r="G97" s="91">
        <f t="shared" si="1"/>
        <v>1</v>
      </c>
    </row>
    <row r="98" spans="1:7" ht="31.5" x14ac:dyDescent="0.25">
      <c r="A98" s="13" t="s">
        <v>49</v>
      </c>
      <c r="B98" s="14" t="s">
        <v>46</v>
      </c>
      <c r="C98" s="14" t="s">
        <v>20</v>
      </c>
      <c r="D98" s="14" t="s">
        <v>50</v>
      </c>
      <c r="E98" s="21">
        <f>прил.3!Z212</f>
        <v>196.16</v>
      </c>
      <c r="F98" s="21">
        <f>прил.3!AA212</f>
        <v>196.16</v>
      </c>
      <c r="G98" s="91">
        <f t="shared" si="1"/>
        <v>1</v>
      </c>
    </row>
    <row r="99" spans="1:7" x14ac:dyDescent="0.25">
      <c r="A99" s="13" t="s">
        <v>490</v>
      </c>
      <c r="B99" s="14" t="s">
        <v>46</v>
      </c>
      <c r="C99" s="14" t="s">
        <v>20</v>
      </c>
      <c r="D99" s="14" t="s">
        <v>540</v>
      </c>
      <c r="E99" s="21">
        <f>прил.3!Z542+прил.3!Z103</f>
        <v>700</v>
      </c>
      <c r="F99" s="21">
        <f>прил.3!AA542+прил.3!AA103</f>
        <v>598.79</v>
      </c>
      <c r="G99" s="91">
        <f t="shared" si="1"/>
        <v>0.85541428571428568</v>
      </c>
    </row>
    <row r="100" spans="1:7" ht="14.25" customHeight="1" x14ac:dyDescent="0.25">
      <c r="A100" s="10" t="s">
        <v>51</v>
      </c>
      <c r="B100" s="11" t="s">
        <v>46</v>
      </c>
      <c r="C100" s="11" t="s">
        <v>46</v>
      </c>
      <c r="D100" s="11" t="s">
        <v>135</v>
      </c>
      <c r="E100" s="12">
        <f>E101+E102</f>
        <v>2117.0700000000002</v>
      </c>
      <c r="F100" s="12">
        <f>F101+F102</f>
        <v>1849.17</v>
      </c>
      <c r="G100" s="93">
        <f t="shared" si="1"/>
        <v>0.87345718374923831</v>
      </c>
    </row>
    <row r="101" spans="1:7" ht="15" customHeight="1" x14ac:dyDescent="0.25">
      <c r="A101" s="13" t="s">
        <v>52</v>
      </c>
      <c r="B101" s="14" t="s">
        <v>46</v>
      </c>
      <c r="C101" s="14" t="s">
        <v>46</v>
      </c>
      <c r="D101" s="14" t="s">
        <v>53</v>
      </c>
      <c r="E101" s="15">
        <f>прил.3!Z578</f>
        <v>968.14000000000021</v>
      </c>
      <c r="F101" s="15">
        <f>прил.3!AA578</f>
        <v>748.37</v>
      </c>
      <c r="G101" s="91">
        <f t="shared" si="1"/>
        <v>0.77299770694321057</v>
      </c>
    </row>
    <row r="102" spans="1:7" x14ac:dyDescent="0.25">
      <c r="A102" s="13" t="s">
        <v>147</v>
      </c>
      <c r="B102" s="14" t="s">
        <v>46</v>
      </c>
      <c r="C102" s="14" t="s">
        <v>46</v>
      </c>
      <c r="D102" s="14" t="s">
        <v>54</v>
      </c>
      <c r="E102" s="15">
        <f>прил.3!Z106</f>
        <v>1148.9299999999998</v>
      </c>
      <c r="F102" s="15">
        <f>прил.3!AA106</f>
        <v>1100.8</v>
      </c>
      <c r="G102" s="91">
        <f t="shared" si="1"/>
        <v>0.95810884910307859</v>
      </c>
    </row>
    <row r="103" spans="1:7" x14ac:dyDescent="0.25">
      <c r="A103" s="27" t="s">
        <v>55</v>
      </c>
      <c r="B103" s="11" t="s">
        <v>56</v>
      </c>
      <c r="C103" s="11" t="s">
        <v>16</v>
      </c>
      <c r="D103" s="11" t="s">
        <v>135</v>
      </c>
      <c r="E103" s="12">
        <f>E104+E115+E143+E146+E155</f>
        <v>341746.17000000004</v>
      </c>
      <c r="F103" s="12">
        <f>F104+F115+F143+F146+F155</f>
        <v>199490.23999999996</v>
      </c>
      <c r="G103" s="93">
        <f t="shared" si="1"/>
        <v>0.58373804159970522</v>
      </c>
    </row>
    <row r="104" spans="1:7" x14ac:dyDescent="0.25">
      <c r="A104" s="10" t="s">
        <v>57</v>
      </c>
      <c r="B104" s="11" t="s">
        <v>56</v>
      </c>
      <c r="C104" s="11" t="s">
        <v>15</v>
      </c>
      <c r="D104" s="11" t="s">
        <v>135</v>
      </c>
      <c r="E104" s="12">
        <f>E110+E114+E108+E111+E113+E112+E109+E107+E106+E105</f>
        <v>206188.1</v>
      </c>
      <c r="F104" s="12">
        <f>F110+F114+F108+F111+F113+F112+F109+F107+F106+F105</f>
        <v>74963.31</v>
      </c>
      <c r="G104" s="93">
        <f t="shared" si="1"/>
        <v>0.36356758707219278</v>
      </c>
    </row>
    <row r="105" spans="1:7" ht="18" customHeight="1" x14ac:dyDescent="0.25">
      <c r="A105" s="19" t="s">
        <v>667</v>
      </c>
      <c r="B105" s="14" t="s">
        <v>56</v>
      </c>
      <c r="C105" s="14" t="s">
        <v>15</v>
      </c>
      <c r="D105" s="14" t="s">
        <v>666</v>
      </c>
      <c r="E105" s="15">
        <f>прил.3!Z216</f>
        <v>855.91</v>
      </c>
      <c r="F105" s="15">
        <f>прил.3!AA216</f>
        <v>855.91</v>
      </c>
      <c r="G105" s="91">
        <f t="shared" si="1"/>
        <v>1</v>
      </c>
    </row>
    <row r="106" spans="1:7" ht="31.5" x14ac:dyDescent="0.25">
      <c r="A106" s="19" t="s">
        <v>640</v>
      </c>
      <c r="B106" s="14" t="s">
        <v>56</v>
      </c>
      <c r="C106" s="14" t="s">
        <v>15</v>
      </c>
      <c r="D106" s="40" t="s">
        <v>639</v>
      </c>
      <c r="E106" s="15">
        <f>прил.3!Z218</f>
        <v>430.9</v>
      </c>
      <c r="F106" s="15">
        <f>прил.3!AA218</f>
        <v>430.9</v>
      </c>
      <c r="G106" s="91">
        <f t="shared" si="1"/>
        <v>1</v>
      </c>
    </row>
    <row r="107" spans="1:7" x14ac:dyDescent="0.25">
      <c r="A107" s="41" t="s">
        <v>332</v>
      </c>
      <c r="B107" s="14" t="s">
        <v>56</v>
      </c>
      <c r="C107" s="14" t="s">
        <v>15</v>
      </c>
      <c r="D107" s="14" t="s">
        <v>453</v>
      </c>
      <c r="E107" s="15">
        <f>прил.3!Z547</f>
        <v>135400</v>
      </c>
      <c r="F107" s="15">
        <f>прил.3!AA547</f>
        <v>12538.93</v>
      </c>
      <c r="G107" s="91">
        <f t="shared" si="1"/>
        <v>9.2606573116691293E-2</v>
      </c>
    </row>
    <row r="108" spans="1:7" ht="45" customHeight="1" x14ac:dyDescent="0.25">
      <c r="A108" s="19" t="s">
        <v>372</v>
      </c>
      <c r="B108" s="14" t="s">
        <v>56</v>
      </c>
      <c r="C108" s="14" t="s">
        <v>15</v>
      </c>
      <c r="D108" s="14" t="s">
        <v>510</v>
      </c>
      <c r="E108" s="15">
        <f>прил.3!Z221</f>
        <v>96.080000000000013</v>
      </c>
      <c r="F108" s="15">
        <f>прил.3!AA221</f>
        <v>76.400000000000006</v>
      </c>
      <c r="G108" s="91">
        <f t="shared" si="1"/>
        <v>0.79517069109075766</v>
      </c>
    </row>
    <row r="109" spans="1:7" ht="32.25" customHeight="1" x14ac:dyDescent="0.25">
      <c r="A109" s="19" t="s">
        <v>582</v>
      </c>
      <c r="B109" s="14" t="s">
        <v>56</v>
      </c>
      <c r="C109" s="14" t="s">
        <v>15</v>
      </c>
      <c r="D109" s="14" t="s">
        <v>624</v>
      </c>
      <c r="E109" s="15">
        <f>прил.3!Z224</f>
        <v>464.1</v>
      </c>
      <c r="F109" s="15">
        <f>прил.3!AA224</f>
        <v>464.1</v>
      </c>
      <c r="G109" s="91">
        <f t="shared" si="1"/>
        <v>1</v>
      </c>
    </row>
    <row r="110" spans="1:7" ht="14.25" customHeight="1" x14ac:dyDescent="0.25">
      <c r="A110" s="13" t="s">
        <v>52</v>
      </c>
      <c r="B110" s="14" t="s">
        <v>56</v>
      </c>
      <c r="C110" s="14" t="s">
        <v>15</v>
      </c>
      <c r="D110" s="14" t="s">
        <v>58</v>
      </c>
      <c r="E110" s="15">
        <f>прил.3!Z226+прил.3!Z230</f>
        <v>45561.18</v>
      </c>
      <c r="F110" s="15">
        <f>прил.3!AA226+прил.3!AA230</f>
        <v>45062.15</v>
      </c>
      <c r="G110" s="91">
        <f t="shared" si="1"/>
        <v>0.98904703521726178</v>
      </c>
    </row>
    <row r="111" spans="1:7" ht="42.75" customHeight="1" x14ac:dyDescent="0.25">
      <c r="A111" s="19" t="s">
        <v>410</v>
      </c>
      <c r="B111" s="14" t="s">
        <v>56</v>
      </c>
      <c r="C111" s="14" t="s">
        <v>15</v>
      </c>
      <c r="D111" s="14" t="s">
        <v>442</v>
      </c>
      <c r="E111" s="15">
        <f>прил.3!Z233</f>
        <v>1838.5300000000002</v>
      </c>
      <c r="F111" s="15">
        <f>прил.3!AA233</f>
        <v>1838.35</v>
      </c>
      <c r="G111" s="91">
        <f t="shared" si="1"/>
        <v>0.99990209569601785</v>
      </c>
    </row>
    <row r="112" spans="1:7" ht="47.25" customHeight="1" x14ac:dyDescent="0.25">
      <c r="A112" s="19" t="s">
        <v>587</v>
      </c>
      <c r="B112" s="14" t="s">
        <v>56</v>
      </c>
      <c r="C112" s="14" t="s">
        <v>15</v>
      </c>
      <c r="D112" s="14" t="s">
        <v>617</v>
      </c>
      <c r="E112" s="15">
        <f>прил.3!Z236</f>
        <v>100</v>
      </c>
      <c r="F112" s="15">
        <f>прил.3!AA236</f>
        <v>100</v>
      </c>
      <c r="G112" s="91">
        <f t="shared" si="1"/>
        <v>1</v>
      </c>
    </row>
    <row r="113" spans="1:7" ht="15" customHeight="1" x14ac:dyDescent="0.25">
      <c r="A113" s="41" t="s">
        <v>332</v>
      </c>
      <c r="B113" s="14" t="s">
        <v>56</v>
      </c>
      <c r="C113" s="14" t="s">
        <v>15</v>
      </c>
      <c r="D113" s="14" t="s">
        <v>511</v>
      </c>
      <c r="E113" s="15">
        <f>прил.3!Z549</f>
        <v>12874.060000000001</v>
      </c>
      <c r="F113" s="15">
        <f>прил.3!AA549</f>
        <v>10440.34</v>
      </c>
      <c r="G113" s="91">
        <f t="shared" si="1"/>
        <v>0.81095940208450168</v>
      </c>
    </row>
    <row r="114" spans="1:7" x14ac:dyDescent="0.25">
      <c r="A114" s="41" t="s">
        <v>332</v>
      </c>
      <c r="B114" s="14" t="s">
        <v>56</v>
      </c>
      <c r="C114" s="14" t="s">
        <v>15</v>
      </c>
      <c r="D114" s="40" t="s">
        <v>383</v>
      </c>
      <c r="E114" s="15">
        <f>прил.3!Z551+прил.3!Z113</f>
        <v>8567.34</v>
      </c>
      <c r="F114" s="15">
        <f>прил.3!AA551+прил.3!AA113</f>
        <v>3156.23</v>
      </c>
      <c r="G114" s="91">
        <f t="shared" si="1"/>
        <v>0.36840256135509969</v>
      </c>
    </row>
    <row r="115" spans="1:7" x14ac:dyDescent="0.25">
      <c r="A115" s="10" t="s">
        <v>80</v>
      </c>
      <c r="B115" s="11" t="s">
        <v>56</v>
      </c>
      <c r="C115" s="11" t="s">
        <v>17</v>
      </c>
      <c r="D115" s="11" t="s">
        <v>135</v>
      </c>
      <c r="E115" s="12">
        <f>E119+E124+E131+E116+E117+E126+E138+E141+E129+E130+E118</f>
        <v>125348.67</v>
      </c>
      <c r="F115" s="12">
        <f>F119+F124+F131+F116+F117+F126+F138+F141+F129+F130+F118</f>
        <v>118978.20999999998</v>
      </c>
      <c r="G115" s="93">
        <f t="shared" si="1"/>
        <v>0.94917808062901643</v>
      </c>
    </row>
    <row r="116" spans="1:7" ht="63.75" customHeight="1" x14ac:dyDescent="0.25">
      <c r="A116" s="19" t="s">
        <v>556</v>
      </c>
      <c r="B116" s="14" t="s">
        <v>56</v>
      </c>
      <c r="C116" s="14" t="s">
        <v>17</v>
      </c>
      <c r="D116" s="14" t="s">
        <v>509</v>
      </c>
      <c r="E116" s="15">
        <f>прил.3!Z239</f>
        <v>7.01</v>
      </c>
      <c r="F116" s="15">
        <f>прил.3!AA239</f>
        <v>7.01</v>
      </c>
      <c r="G116" s="91">
        <f t="shared" si="1"/>
        <v>1</v>
      </c>
    </row>
    <row r="117" spans="1:7" ht="29.25" customHeight="1" x14ac:dyDescent="0.25">
      <c r="A117" s="19" t="s">
        <v>436</v>
      </c>
      <c r="B117" s="14" t="s">
        <v>56</v>
      </c>
      <c r="C117" s="14" t="s">
        <v>17</v>
      </c>
      <c r="D117" s="14" t="s">
        <v>509</v>
      </c>
      <c r="E117" s="15">
        <f>прил.3!Z115</f>
        <v>3038</v>
      </c>
      <c r="F117" s="15">
        <f>прил.3!AA115</f>
        <v>3038</v>
      </c>
      <c r="G117" s="91">
        <f t="shared" si="1"/>
        <v>1</v>
      </c>
    </row>
    <row r="118" spans="1:7" ht="16.5" customHeight="1" x14ac:dyDescent="0.25">
      <c r="A118" s="19" t="s">
        <v>642</v>
      </c>
      <c r="B118" s="14" t="s">
        <v>56</v>
      </c>
      <c r="C118" s="14" t="s">
        <v>17</v>
      </c>
      <c r="D118" s="14" t="s">
        <v>665</v>
      </c>
      <c r="E118" s="15">
        <f>прил.3!Z241</f>
        <v>263.27</v>
      </c>
      <c r="F118" s="15">
        <f>прил.3!AA241</f>
        <v>263.27</v>
      </c>
      <c r="G118" s="91">
        <f t="shared" si="1"/>
        <v>1</v>
      </c>
    </row>
    <row r="119" spans="1:7" ht="14.25" customHeight="1" x14ac:dyDescent="0.25">
      <c r="A119" s="13" t="s">
        <v>121</v>
      </c>
      <c r="B119" s="14" t="s">
        <v>56</v>
      </c>
      <c r="C119" s="14" t="s">
        <v>17</v>
      </c>
      <c r="D119" s="14" t="s">
        <v>122</v>
      </c>
      <c r="E119" s="15">
        <f>E120+E121+E123</f>
        <v>13860.480000000003</v>
      </c>
      <c r="F119" s="15">
        <f>F120+F121+F123</f>
        <v>13798.060000000001</v>
      </c>
      <c r="G119" s="91">
        <f t="shared" si="1"/>
        <v>0.99549654846008206</v>
      </c>
    </row>
    <row r="120" spans="1:7" ht="14.25" customHeight="1" x14ac:dyDescent="0.25">
      <c r="A120" s="13" t="s">
        <v>52</v>
      </c>
      <c r="B120" s="14" t="s">
        <v>56</v>
      </c>
      <c r="C120" s="14" t="s">
        <v>17</v>
      </c>
      <c r="D120" s="14" t="s">
        <v>122</v>
      </c>
      <c r="E120" s="21">
        <f>прил.3!Z243-73.89</f>
        <v>13790.690000000002</v>
      </c>
      <c r="F120" s="21">
        <f>прил.3!AA243-73.89</f>
        <v>13728.27</v>
      </c>
      <c r="G120" s="91">
        <f t="shared" si="1"/>
        <v>0.99547375802080951</v>
      </c>
    </row>
    <row r="121" spans="1:7" ht="79.5" hidden="1" customHeight="1" x14ac:dyDescent="0.25">
      <c r="A121" s="13" t="s">
        <v>123</v>
      </c>
      <c r="B121" s="14" t="s">
        <v>56</v>
      </c>
      <c r="C121" s="14" t="s">
        <v>17</v>
      </c>
      <c r="D121" s="14" t="s">
        <v>124</v>
      </c>
      <c r="E121" s="15">
        <f>прил.3!Z250</f>
        <v>0</v>
      </c>
      <c r="F121" s="15">
        <f>прил.3!AA250</f>
        <v>0</v>
      </c>
      <c r="G121" s="91" t="e">
        <f t="shared" si="1"/>
        <v>#DIV/0!</v>
      </c>
    </row>
    <row r="122" spans="1:7" ht="47.25" hidden="1" x14ac:dyDescent="0.25">
      <c r="A122" s="13" t="s">
        <v>189</v>
      </c>
      <c r="B122" s="14" t="s">
        <v>56</v>
      </c>
      <c r="C122" s="14" t="s">
        <v>17</v>
      </c>
      <c r="D122" s="14" t="s">
        <v>190</v>
      </c>
      <c r="E122" s="15"/>
      <c r="F122" s="15"/>
      <c r="G122" s="91" t="e">
        <f t="shared" si="1"/>
        <v>#DIV/0!</v>
      </c>
    </row>
    <row r="123" spans="1:7" ht="31.5" x14ac:dyDescent="0.25">
      <c r="A123" s="13" t="s">
        <v>681</v>
      </c>
      <c r="B123" s="14" t="s">
        <v>56</v>
      </c>
      <c r="C123" s="14" t="s">
        <v>17</v>
      </c>
      <c r="D123" s="14" t="s">
        <v>664</v>
      </c>
      <c r="E123" s="15">
        <f>прил.3!Z257</f>
        <v>69.790000000000006</v>
      </c>
      <c r="F123" s="15">
        <f>прил.3!AA257</f>
        <v>69.790000000000006</v>
      </c>
      <c r="G123" s="91">
        <f t="shared" si="1"/>
        <v>1</v>
      </c>
    </row>
    <row r="124" spans="1:7" ht="15" customHeight="1" x14ac:dyDescent="0.25">
      <c r="A124" s="13" t="s">
        <v>81</v>
      </c>
      <c r="B124" s="14" t="s">
        <v>56</v>
      </c>
      <c r="C124" s="14" t="s">
        <v>17</v>
      </c>
      <c r="D124" s="14" t="s">
        <v>82</v>
      </c>
      <c r="E124" s="15">
        <f>E125</f>
        <v>25704.77</v>
      </c>
      <c r="F124" s="15">
        <f>F125</f>
        <v>25700.61</v>
      </c>
      <c r="G124" s="91">
        <f t="shared" si="1"/>
        <v>0.99983816233329459</v>
      </c>
    </row>
    <row r="125" spans="1:7" ht="14.25" customHeight="1" x14ac:dyDescent="0.25">
      <c r="A125" s="13" t="s">
        <v>52</v>
      </c>
      <c r="B125" s="14" t="s">
        <v>56</v>
      </c>
      <c r="C125" s="14" t="s">
        <v>17</v>
      </c>
      <c r="D125" s="14" t="s">
        <v>83</v>
      </c>
      <c r="E125" s="15">
        <f>прил.3!Z259</f>
        <v>25704.77</v>
      </c>
      <c r="F125" s="15">
        <f>прил.3!AA259</f>
        <v>25700.61</v>
      </c>
      <c r="G125" s="91">
        <f t="shared" si="1"/>
        <v>0.99983816233329459</v>
      </c>
    </row>
    <row r="126" spans="1:7" ht="28.5" customHeight="1" x14ac:dyDescent="0.25">
      <c r="A126" s="68" t="s">
        <v>440</v>
      </c>
      <c r="B126" s="14" t="s">
        <v>56</v>
      </c>
      <c r="C126" s="14" t="s">
        <v>17</v>
      </c>
      <c r="D126" s="14" t="s">
        <v>441</v>
      </c>
      <c r="E126" s="15">
        <f>E127+E128</f>
        <v>223</v>
      </c>
      <c r="F126" s="15">
        <f>F127+F128</f>
        <v>223</v>
      </c>
      <c r="G126" s="91">
        <f t="shared" si="1"/>
        <v>1</v>
      </c>
    </row>
    <row r="127" spans="1:7" ht="44.25" customHeight="1" x14ac:dyDescent="0.25">
      <c r="A127" s="43" t="s">
        <v>425</v>
      </c>
      <c r="B127" s="14" t="s">
        <v>56</v>
      </c>
      <c r="C127" s="14" t="s">
        <v>17</v>
      </c>
      <c r="D127" s="14" t="s">
        <v>438</v>
      </c>
      <c r="E127" s="15">
        <f>прил.3!Z263</f>
        <v>223</v>
      </c>
      <c r="F127" s="15">
        <f>прил.3!AA263</f>
        <v>223</v>
      </c>
      <c r="G127" s="91">
        <f t="shared" si="1"/>
        <v>1</v>
      </c>
    </row>
    <row r="128" spans="1:7" ht="48" hidden="1" customHeight="1" x14ac:dyDescent="0.25">
      <c r="A128" s="43" t="s">
        <v>424</v>
      </c>
      <c r="B128" s="14" t="s">
        <v>56</v>
      </c>
      <c r="C128" s="14" t="s">
        <v>17</v>
      </c>
      <c r="D128" s="14" t="s">
        <v>439</v>
      </c>
      <c r="E128" s="65"/>
      <c r="F128" s="65"/>
      <c r="G128" s="91" t="e">
        <f t="shared" si="1"/>
        <v>#DIV/0!</v>
      </c>
    </row>
    <row r="129" spans="1:7" ht="15" customHeight="1" x14ac:dyDescent="0.25">
      <c r="A129" s="19" t="s">
        <v>456</v>
      </c>
      <c r="B129" s="14" t="s">
        <v>56</v>
      </c>
      <c r="C129" s="14" t="s">
        <v>17</v>
      </c>
      <c r="D129" s="14" t="s">
        <v>512</v>
      </c>
      <c r="E129" s="15">
        <f>прил.3!Z265</f>
        <v>5433</v>
      </c>
      <c r="F129" s="15">
        <f>прил.3!AA265</f>
        <v>5433</v>
      </c>
      <c r="G129" s="91">
        <f t="shared" si="1"/>
        <v>1</v>
      </c>
    </row>
    <row r="130" spans="1:7" ht="48" customHeight="1" x14ac:dyDescent="0.25">
      <c r="A130" s="19" t="s">
        <v>458</v>
      </c>
      <c r="B130" s="14" t="s">
        <v>56</v>
      </c>
      <c r="C130" s="14" t="s">
        <v>17</v>
      </c>
      <c r="D130" s="14" t="s">
        <v>513</v>
      </c>
      <c r="E130" s="15">
        <f>прил.3!Z268</f>
        <v>2303.65</v>
      </c>
      <c r="F130" s="15">
        <f>прил.3!AA268</f>
        <v>2303.65</v>
      </c>
      <c r="G130" s="91">
        <f t="shared" si="1"/>
        <v>1</v>
      </c>
    </row>
    <row r="131" spans="1:7" ht="16.5" customHeight="1" x14ac:dyDescent="0.25">
      <c r="A131" s="68" t="s">
        <v>79</v>
      </c>
      <c r="B131" s="14" t="s">
        <v>56</v>
      </c>
      <c r="C131" s="14" t="s">
        <v>17</v>
      </c>
      <c r="D131" s="14" t="s">
        <v>94</v>
      </c>
      <c r="E131" s="15">
        <f>E132+E135+E136+E137+E134+E133</f>
        <v>48192.950000000004</v>
      </c>
      <c r="F131" s="15">
        <f>F132+F135+F136+F137+F134+F133</f>
        <v>48108.149999999994</v>
      </c>
      <c r="G131" s="91">
        <f t="shared" si="1"/>
        <v>0.99824040653249058</v>
      </c>
    </row>
    <row r="132" spans="1:7" ht="28.5" customHeight="1" x14ac:dyDescent="0.25">
      <c r="A132" s="20" t="s">
        <v>125</v>
      </c>
      <c r="B132" s="14" t="s">
        <v>56</v>
      </c>
      <c r="C132" s="14" t="s">
        <v>17</v>
      </c>
      <c r="D132" s="14" t="s">
        <v>437</v>
      </c>
      <c r="E132" s="15">
        <f>прил.3!Z271</f>
        <v>867.19999999999993</v>
      </c>
      <c r="F132" s="15">
        <f>прил.3!AA271</f>
        <v>842.4</v>
      </c>
      <c r="G132" s="91">
        <f t="shared" si="1"/>
        <v>0.97140221402214022</v>
      </c>
    </row>
    <row r="133" spans="1:7" ht="28.5" customHeight="1" x14ac:dyDescent="0.25">
      <c r="A133" s="20" t="s">
        <v>125</v>
      </c>
      <c r="B133" s="14" t="s">
        <v>56</v>
      </c>
      <c r="C133" s="14" t="s">
        <v>17</v>
      </c>
      <c r="D133" s="14" t="s">
        <v>656</v>
      </c>
      <c r="E133" s="15">
        <f>прил.3!Z274</f>
        <v>60</v>
      </c>
      <c r="F133" s="15">
        <f>прил.3!AA274</f>
        <v>0</v>
      </c>
      <c r="G133" s="91">
        <f t="shared" si="1"/>
        <v>0</v>
      </c>
    </row>
    <row r="134" spans="1:7" ht="28.5" customHeight="1" x14ac:dyDescent="0.25">
      <c r="A134" s="19" t="s">
        <v>526</v>
      </c>
      <c r="B134" s="14" t="s">
        <v>56</v>
      </c>
      <c r="C134" s="14" t="s">
        <v>17</v>
      </c>
      <c r="D134" s="14" t="s">
        <v>541</v>
      </c>
      <c r="E134" s="15">
        <f>прил.3!Z276</f>
        <v>110</v>
      </c>
      <c r="F134" s="15">
        <f>прил.3!AA276</f>
        <v>110</v>
      </c>
      <c r="G134" s="91">
        <f t="shared" si="1"/>
        <v>1</v>
      </c>
    </row>
    <row r="135" spans="1:7" ht="28.5" customHeight="1" x14ac:dyDescent="0.25">
      <c r="A135" s="19" t="s">
        <v>410</v>
      </c>
      <c r="B135" s="14" t="s">
        <v>56</v>
      </c>
      <c r="C135" s="14" t="s">
        <v>17</v>
      </c>
      <c r="D135" s="14" t="s">
        <v>442</v>
      </c>
      <c r="E135" s="15">
        <f>прил.3!Z278</f>
        <v>515.54999999999995</v>
      </c>
      <c r="F135" s="15">
        <f>прил.3!AA278</f>
        <v>515.54999999999995</v>
      </c>
      <c r="G135" s="91">
        <f t="shared" si="1"/>
        <v>1</v>
      </c>
    </row>
    <row r="136" spans="1:7" ht="106.5" customHeight="1" x14ac:dyDescent="0.25">
      <c r="A136" s="19" t="s">
        <v>414</v>
      </c>
      <c r="B136" s="14" t="s">
        <v>56</v>
      </c>
      <c r="C136" s="14" t="s">
        <v>17</v>
      </c>
      <c r="D136" s="14" t="s">
        <v>443</v>
      </c>
      <c r="E136" s="15">
        <f>прил.3!Z280</f>
        <v>44538.000000000007</v>
      </c>
      <c r="F136" s="15">
        <f>прил.3!AA280</f>
        <v>44538</v>
      </c>
      <c r="G136" s="91">
        <f t="shared" si="1"/>
        <v>0.99999999999999989</v>
      </c>
    </row>
    <row r="137" spans="1:7" ht="30.75" customHeight="1" x14ac:dyDescent="0.25">
      <c r="A137" s="19" t="s">
        <v>416</v>
      </c>
      <c r="B137" s="14" t="s">
        <v>56</v>
      </c>
      <c r="C137" s="14" t="s">
        <v>17</v>
      </c>
      <c r="D137" s="14" t="s">
        <v>444</v>
      </c>
      <c r="E137" s="15">
        <f>прил.3!Z283</f>
        <v>2102.1999999999998</v>
      </c>
      <c r="F137" s="15">
        <f>прил.3!AA283</f>
        <v>2102.1999999999998</v>
      </c>
      <c r="G137" s="91">
        <f t="shared" si="1"/>
        <v>1</v>
      </c>
    </row>
    <row r="138" spans="1:7" ht="18" customHeight="1" x14ac:dyDescent="0.25">
      <c r="A138" s="62" t="s">
        <v>475</v>
      </c>
      <c r="B138" s="14" t="s">
        <v>56</v>
      </c>
      <c r="C138" s="14" t="s">
        <v>17</v>
      </c>
      <c r="D138" s="14" t="s">
        <v>501</v>
      </c>
      <c r="E138" s="15">
        <f>E140+E139</f>
        <v>23471.54</v>
      </c>
      <c r="F138" s="15">
        <f>F140+F139</f>
        <v>17663.900000000001</v>
      </c>
      <c r="G138" s="91">
        <f t="shared" si="1"/>
        <v>0.75256672548967818</v>
      </c>
    </row>
    <row r="139" spans="1:7" ht="18" customHeight="1" x14ac:dyDescent="0.25">
      <c r="A139" s="19" t="s">
        <v>584</v>
      </c>
      <c r="B139" s="14" t="s">
        <v>56</v>
      </c>
      <c r="C139" s="14" t="s">
        <v>17</v>
      </c>
      <c r="D139" s="14" t="s">
        <v>618</v>
      </c>
      <c r="E139" s="15">
        <f>прил.3!Z285</f>
        <v>50</v>
      </c>
      <c r="F139" s="15">
        <f>прил.3!AA285</f>
        <v>50</v>
      </c>
      <c r="G139" s="91">
        <f t="shared" si="1"/>
        <v>1</v>
      </c>
    </row>
    <row r="140" spans="1:7" ht="45.75" customHeight="1" x14ac:dyDescent="0.25">
      <c r="A140" s="68" t="s">
        <v>486</v>
      </c>
      <c r="B140" s="14" t="s">
        <v>56</v>
      </c>
      <c r="C140" s="14" t="s">
        <v>17</v>
      </c>
      <c r="D140" s="14" t="s">
        <v>514</v>
      </c>
      <c r="E140" s="15">
        <f>прил.3!Z554</f>
        <v>23421.54</v>
      </c>
      <c r="F140" s="15">
        <f>прил.3!AA554</f>
        <v>17613.900000000001</v>
      </c>
      <c r="G140" s="91">
        <f t="shared" si="1"/>
        <v>0.75203850814250472</v>
      </c>
    </row>
    <row r="141" spans="1:7" ht="17.25" customHeight="1" x14ac:dyDescent="0.25">
      <c r="A141" s="1" t="s">
        <v>38</v>
      </c>
      <c r="B141" s="14" t="s">
        <v>56</v>
      </c>
      <c r="C141" s="14" t="s">
        <v>17</v>
      </c>
      <c r="D141" s="14" t="s">
        <v>39</v>
      </c>
      <c r="E141" s="15">
        <f>E142</f>
        <v>2851</v>
      </c>
      <c r="F141" s="15">
        <f>F142</f>
        <v>2439.56</v>
      </c>
      <c r="G141" s="91">
        <f t="shared" si="1"/>
        <v>0.85568572430726064</v>
      </c>
    </row>
    <row r="142" spans="1:7" x14ac:dyDescent="0.25">
      <c r="A142" s="1" t="s">
        <v>515</v>
      </c>
      <c r="B142" s="14" t="s">
        <v>56</v>
      </c>
      <c r="C142" s="14" t="s">
        <v>17</v>
      </c>
      <c r="D142" s="17" t="s">
        <v>183</v>
      </c>
      <c r="E142" s="15">
        <f>прил.3!Z556+прил.3!Z557</f>
        <v>2851</v>
      </c>
      <c r="F142" s="15">
        <f>прил.3!AA556+прил.3!AA557</f>
        <v>2439.56</v>
      </c>
      <c r="G142" s="91">
        <f t="shared" si="1"/>
        <v>0.85568572430726064</v>
      </c>
    </row>
    <row r="143" spans="1:7" ht="31.5" x14ac:dyDescent="0.25">
      <c r="A143" s="10" t="s">
        <v>76</v>
      </c>
      <c r="B143" s="11" t="s">
        <v>56</v>
      </c>
      <c r="C143" s="11" t="s">
        <v>46</v>
      </c>
      <c r="D143" s="11" t="s">
        <v>135</v>
      </c>
      <c r="E143" s="12">
        <f>E144</f>
        <v>45</v>
      </c>
      <c r="F143" s="12">
        <f>F144</f>
        <v>26.09</v>
      </c>
      <c r="G143" s="93">
        <f t="shared" ref="G143:G206" si="2">F143/E143</f>
        <v>0.57977777777777773</v>
      </c>
    </row>
    <row r="144" spans="1:7" ht="15" customHeight="1" x14ac:dyDescent="0.25">
      <c r="A144" s="13" t="s">
        <v>126</v>
      </c>
      <c r="B144" s="14" t="s">
        <v>56</v>
      </c>
      <c r="C144" s="14" t="s">
        <v>46</v>
      </c>
      <c r="D144" s="14" t="s">
        <v>127</v>
      </c>
      <c r="E144" s="15">
        <f>E145</f>
        <v>45</v>
      </c>
      <c r="F144" s="15">
        <f>F145</f>
        <v>26.09</v>
      </c>
      <c r="G144" s="91">
        <f t="shared" si="2"/>
        <v>0.57977777777777773</v>
      </c>
    </row>
    <row r="145" spans="1:7" ht="15" customHeight="1" x14ac:dyDescent="0.25">
      <c r="A145" s="13" t="s">
        <v>77</v>
      </c>
      <c r="B145" s="14" t="s">
        <v>56</v>
      </c>
      <c r="C145" s="14" t="s">
        <v>46</v>
      </c>
      <c r="D145" s="14" t="s">
        <v>78</v>
      </c>
      <c r="E145" s="15">
        <f>прил.3!Z288</f>
        <v>45</v>
      </c>
      <c r="F145" s="15">
        <f>прил.3!AA288</f>
        <v>26.09</v>
      </c>
      <c r="G145" s="91">
        <f t="shared" si="2"/>
        <v>0.57977777777777773</v>
      </c>
    </row>
    <row r="146" spans="1:7" x14ac:dyDescent="0.25">
      <c r="A146" s="10" t="s">
        <v>59</v>
      </c>
      <c r="B146" s="11" t="s">
        <v>56</v>
      </c>
      <c r="C146" s="11" t="s">
        <v>56</v>
      </c>
      <c r="D146" s="11" t="s">
        <v>135</v>
      </c>
      <c r="E146" s="12">
        <f>E147+E150+E154</f>
        <v>2812</v>
      </c>
      <c r="F146" s="12">
        <f>F147+F150+F154</f>
        <v>2732.01</v>
      </c>
      <c r="G146" s="93">
        <f t="shared" si="2"/>
        <v>0.97155405405405415</v>
      </c>
    </row>
    <row r="147" spans="1:7" ht="17.25" customHeight="1" x14ac:dyDescent="0.25">
      <c r="A147" s="13" t="s">
        <v>148</v>
      </c>
      <c r="B147" s="14" t="s">
        <v>56</v>
      </c>
      <c r="C147" s="14" t="s">
        <v>56</v>
      </c>
      <c r="D147" s="14" t="s">
        <v>149</v>
      </c>
      <c r="E147" s="15">
        <f>E148+E149</f>
        <v>734</v>
      </c>
      <c r="F147" s="15">
        <f>F148+F149</f>
        <v>671.26</v>
      </c>
      <c r="G147" s="91">
        <f t="shared" si="2"/>
        <v>0.91452316076294282</v>
      </c>
    </row>
    <row r="148" spans="1:7" x14ac:dyDescent="0.25">
      <c r="A148" s="13" t="s">
        <v>60</v>
      </c>
      <c r="B148" s="14" t="s">
        <v>56</v>
      </c>
      <c r="C148" s="14" t="s">
        <v>56</v>
      </c>
      <c r="D148" s="14" t="s">
        <v>61</v>
      </c>
      <c r="E148" s="15">
        <f>прил.3!Z118</f>
        <v>660</v>
      </c>
      <c r="F148" s="15">
        <f>прил.3!AA118</f>
        <v>659.21</v>
      </c>
      <c r="G148" s="91">
        <f t="shared" si="2"/>
        <v>0.9988030303030303</v>
      </c>
    </row>
    <row r="149" spans="1:7" x14ac:dyDescent="0.25">
      <c r="A149" s="43" t="s">
        <v>573</v>
      </c>
      <c r="B149" s="14" t="s">
        <v>56</v>
      </c>
      <c r="C149" s="14" t="s">
        <v>56</v>
      </c>
      <c r="D149" s="14" t="s">
        <v>614</v>
      </c>
      <c r="E149" s="15">
        <f>прил.3!Z120</f>
        <v>74</v>
      </c>
      <c r="F149" s="15">
        <f>прил.3!AA120</f>
        <v>12.05</v>
      </c>
      <c r="G149" s="91">
        <f t="shared" si="2"/>
        <v>0.16283783783783784</v>
      </c>
    </row>
    <row r="150" spans="1:7" ht="17.25" customHeight="1" x14ac:dyDescent="0.25">
      <c r="A150" s="13" t="s">
        <v>150</v>
      </c>
      <c r="B150" s="14" t="s">
        <v>56</v>
      </c>
      <c r="C150" s="14" t="s">
        <v>56</v>
      </c>
      <c r="D150" s="14" t="s">
        <v>84</v>
      </c>
      <c r="E150" s="15">
        <f>E151+E152+E153</f>
        <v>2028</v>
      </c>
      <c r="F150" s="15">
        <f>F151+F152+F153</f>
        <v>2010.75</v>
      </c>
      <c r="G150" s="91">
        <f t="shared" si="2"/>
        <v>0.99149408284023666</v>
      </c>
    </row>
    <row r="151" spans="1:7" x14ac:dyDescent="0.25">
      <c r="A151" s="13" t="s">
        <v>85</v>
      </c>
      <c r="B151" s="14" t="s">
        <v>56</v>
      </c>
      <c r="C151" s="14" t="s">
        <v>56</v>
      </c>
      <c r="D151" s="14" t="s">
        <v>86</v>
      </c>
      <c r="E151" s="15">
        <f>прил.3!Z293+прил.3!Z359</f>
        <v>1000</v>
      </c>
      <c r="F151" s="15">
        <f>прил.3!AA293+прил.3!AA359</f>
        <v>982.79000000000008</v>
      </c>
      <c r="G151" s="91">
        <f t="shared" si="2"/>
        <v>0.98279000000000005</v>
      </c>
    </row>
    <row r="152" spans="1:7" ht="17.25" customHeight="1" x14ac:dyDescent="0.25">
      <c r="A152" s="13" t="s">
        <v>102</v>
      </c>
      <c r="B152" s="14" t="s">
        <v>56</v>
      </c>
      <c r="C152" s="14" t="s">
        <v>56</v>
      </c>
      <c r="D152" s="14" t="s">
        <v>532</v>
      </c>
      <c r="E152" s="15">
        <f>прил.3!Z361+прил.3!Z297</f>
        <v>394</v>
      </c>
      <c r="F152" s="15">
        <f>прил.3!AA361+прил.3!AA297</f>
        <v>393.96</v>
      </c>
      <c r="G152" s="91">
        <f t="shared" si="2"/>
        <v>0.99989847715736035</v>
      </c>
    </row>
    <row r="153" spans="1:7" x14ac:dyDescent="0.25">
      <c r="A153" s="13" t="s">
        <v>531</v>
      </c>
      <c r="B153" s="14" t="s">
        <v>56</v>
      </c>
      <c r="C153" s="14" t="s">
        <v>56</v>
      </c>
      <c r="D153" s="14" t="s">
        <v>103</v>
      </c>
      <c r="E153" s="15">
        <f>прил.3!Z299+прил.3!Z363</f>
        <v>634</v>
      </c>
      <c r="F153" s="15">
        <f>прил.3!AA299+прил.3!AA363</f>
        <v>634</v>
      </c>
      <c r="G153" s="91">
        <f t="shared" si="2"/>
        <v>1</v>
      </c>
    </row>
    <row r="154" spans="1:7" x14ac:dyDescent="0.25">
      <c r="A154" s="72" t="s">
        <v>586</v>
      </c>
      <c r="B154" s="14" t="s">
        <v>56</v>
      </c>
      <c r="C154" s="14" t="s">
        <v>56</v>
      </c>
      <c r="D154" s="14" t="s">
        <v>619</v>
      </c>
      <c r="E154" s="15">
        <f>прил.3!Z302</f>
        <v>50</v>
      </c>
      <c r="F154" s="15">
        <f>прил.3!AA302</f>
        <v>50</v>
      </c>
      <c r="G154" s="91">
        <f t="shared" si="2"/>
        <v>1</v>
      </c>
    </row>
    <row r="155" spans="1:7" x14ac:dyDescent="0.25">
      <c r="A155" s="10" t="s">
        <v>62</v>
      </c>
      <c r="B155" s="11" t="s">
        <v>56</v>
      </c>
      <c r="C155" s="11" t="s">
        <v>63</v>
      </c>
      <c r="D155" s="11" t="s">
        <v>135</v>
      </c>
      <c r="E155" s="12">
        <f>E156+E158+E163+E165+E160+E162+E164+E161</f>
        <v>7352.4</v>
      </c>
      <c r="F155" s="12">
        <f>F156+F158+F163+F165+F160+F162+F164+F161</f>
        <v>2790.62</v>
      </c>
      <c r="G155" s="93">
        <f t="shared" si="2"/>
        <v>0.3795522550459714</v>
      </c>
    </row>
    <row r="156" spans="1:7" ht="31.5" hidden="1" x14ac:dyDescent="0.25">
      <c r="A156" s="13" t="s">
        <v>128</v>
      </c>
      <c r="B156" s="14" t="s">
        <v>56</v>
      </c>
      <c r="C156" s="14" t="s">
        <v>63</v>
      </c>
      <c r="D156" s="14" t="s">
        <v>129</v>
      </c>
      <c r="E156" s="15">
        <f>E157</f>
        <v>0</v>
      </c>
      <c r="F156" s="15">
        <f>F157</f>
        <v>0</v>
      </c>
      <c r="G156" s="91" t="e">
        <f t="shared" si="2"/>
        <v>#DIV/0!</v>
      </c>
    </row>
    <row r="157" spans="1:7" ht="29.25" hidden="1" customHeight="1" x14ac:dyDescent="0.25">
      <c r="A157" s="13" t="s">
        <v>179</v>
      </c>
      <c r="B157" s="14" t="s">
        <v>56</v>
      </c>
      <c r="C157" s="14" t="s">
        <v>63</v>
      </c>
      <c r="D157" s="14" t="s">
        <v>151</v>
      </c>
      <c r="E157" s="15">
        <f>прил.3!Z305</f>
        <v>0</v>
      </c>
      <c r="F157" s="15">
        <f>прил.3!AA305</f>
        <v>0</v>
      </c>
      <c r="G157" s="91" t="e">
        <f t="shared" si="2"/>
        <v>#DIV/0!</v>
      </c>
    </row>
    <row r="158" spans="1:7" x14ac:dyDescent="0.25">
      <c r="A158" s="13" t="s">
        <v>152</v>
      </c>
      <c r="B158" s="14" t="s">
        <v>56</v>
      </c>
      <c r="C158" s="14" t="s">
        <v>63</v>
      </c>
      <c r="D158" s="14" t="s">
        <v>153</v>
      </c>
      <c r="E158" s="15">
        <f>E159</f>
        <v>423.68</v>
      </c>
      <c r="F158" s="15">
        <f>F159</f>
        <v>349.09</v>
      </c>
      <c r="G158" s="91">
        <f t="shared" si="2"/>
        <v>0.82394731873111771</v>
      </c>
    </row>
    <row r="159" spans="1:7" x14ac:dyDescent="0.25">
      <c r="A159" s="13" t="s">
        <v>60</v>
      </c>
      <c r="B159" s="14" t="s">
        <v>56</v>
      </c>
      <c r="C159" s="14" t="s">
        <v>63</v>
      </c>
      <c r="D159" s="14" t="s">
        <v>64</v>
      </c>
      <c r="E159" s="15">
        <f>прил.3!Z125</f>
        <v>423.68</v>
      </c>
      <c r="F159" s="15">
        <f>прил.3!AA125</f>
        <v>349.09</v>
      </c>
      <c r="G159" s="91">
        <f t="shared" si="2"/>
        <v>0.82394731873111771</v>
      </c>
    </row>
    <row r="160" spans="1:7" ht="43.5" customHeight="1" x14ac:dyDescent="0.25">
      <c r="A160" s="43" t="s">
        <v>425</v>
      </c>
      <c r="B160" s="14" t="s">
        <v>56</v>
      </c>
      <c r="C160" s="14" t="s">
        <v>63</v>
      </c>
      <c r="D160" s="14" t="s">
        <v>438</v>
      </c>
      <c r="E160" s="15">
        <f>прил.3!Z127</f>
        <v>103</v>
      </c>
      <c r="F160" s="15">
        <f>прил.3!AA127</f>
        <v>103</v>
      </c>
      <c r="G160" s="91">
        <f t="shared" si="2"/>
        <v>1</v>
      </c>
    </row>
    <row r="161" spans="1:7" ht="45.75" customHeight="1" x14ac:dyDescent="0.25">
      <c r="A161" s="43" t="s">
        <v>424</v>
      </c>
      <c r="B161" s="14" t="s">
        <v>56</v>
      </c>
      <c r="C161" s="14" t="s">
        <v>63</v>
      </c>
      <c r="D161" s="14" t="s">
        <v>516</v>
      </c>
      <c r="E161" s="15">
        <f>прил.3!Z129</f>
        <v>330</v>
      </c>
      <c r="F161" s="15">
        <f>прил.3!AA129</f>
        <v>307.52999999999997</v>
      </c>
      <c r="G161" s="91">
        <f t="shared" si="2"/>
        <v>0.9319090909090908</v>
      </c>
    </row>
    <row r="162" spans="1:7" ht="105.75" customHeight="1" x14ac:dyDescent="0.25">
      <c r="A162" s="19" t="s">
        <v>414</v>
      </c>
      <c r="B162" s="14" t="s">
        <v>56</v>
      </c>
      <c r="C162" s="14" t="s">
        <v>63</v>
      </c>
      <c r="D162" s="14" t="s">
        <v>443</v>
      </c>
      <c r="E162" s="15">
        <f>прил.3!Z307</f>
        <v>2031</v>
      </c>
      <c r="F162" s="15">
        <f>прил.3!AA307</f>
        <v>2031</v>
      </c>
      <c r="G162" s="91">
        <f t="shared" si="2"/>
        <v>1</v>
      </c>
    </row>
    <row r="163" spans="1:7" ht="29.25" customHeight="1" x14ac:dyDescent="0.25">
      <c r="A163" s="19" t="s">
        <v>401</v>
      </c>
      <c r="B163" s="14" t="s">
        <v>56</v>
      </c>
      <c r="C163" s="14" t="s">
        <v>63</v>
      </c>
      <c r="D163" s="40" t="s">
        <v>517</v>
      </c>
      <c r="E163" s="15">
        <f>прил.3!Z131</f>
        <v>3127.7200000000003</v>
      </c>
      <c r="F163" s="15">
        <f>прил.3!AA131</f>
        <v>0</v>
      </c>
      <c r="G163" s="91">
        <f t="shared" si="2"/>
        <v>0</v>
      </c>
    </row>
    <row r="164" spans="1:7" ht="28.5" customHeight="1" x14ac:dyDescent="0.25">
      <c r="A164" s="19" t="s">
        <v>564</v>
      </c>
      <c r="B164" s="14" t="s">
        <v>56</v>
      </c>
      <c r="C164" s="14" t="s">
        <v>63</v>
      </c>
      <c r="D164" s="40" t="s">
        <v>517</v>
      </c>
      <c r="E164" s="59">
        <f>прил.3!Z132</f>
        <v>1287</v>
      </c>
      <c r="F164" s="59">
        <f>прил.3!AA132</f>
        <v>0</v>
      </c>
      <c r="G164" s="91">
        <f t="shared" si="2"/>
        <v>0</v>
      </c>
    </row>
    <row r="165" spans="1:7" ht="32.25" customHeight="1" x14ac:dyDescent="0.25">
      <c r="A165" s="19" t="s">
        <v>401</v>
      </c>
      <c r="B165" s="14" t="s">
        <v>56</v>
      </c>
      <c r="C165" s="14" t="s">
        <v>63</v>
      </c>
      <c r="D165" s="40" t="s">
        <v>39</v>
      </c>
      <c r="E165" s="15">
        <f>прил.3!Z133</f>
        <v>50</v>
      </c>
      <c r="F165" s="15">
        <f>прил.3!AA133</f>
        <v>0</v>
      </c>
      <c r="G165" s="91">
        <f t="shared" si="2"/>
        <v>0</v>
      </c>
    </row>
    <row r="166" spans="1:7" x14ac:dyDescent="0.25">
      <c r="A166" s="10" t="s">
        <v>247</v>
      </c>
      <c r="B166" s="11" t="s">
        <v>43</v>
      </c>
      <c r="C166" s="11" t="s">
        <v>16</v>
      </c>
      <c r="D166" s="11" t="s">
        <v>135</v>
      </c>
      <c r="E166" s="12">
        <f>E167</f>
        <v>7127.41</v>
      </c>
      <c r="F166" s="12">
        <f>F167</f>
        <v>6239.4400000000005</v>
      </c>
      <c r="G166" s="93">
        <f t="shared" si="2"/>
        <v>0.87541477198589679</v>
      </c>
    </row>
    <row r="167" spans="1:7" x14ac:dyDescent="0.25">
      <c r="A167" s="10" t="s">
        <v>154</v>
      </c>
      <c r="B167" s="11" t="s">
        <v>43</v>
      </c>
      <c r="C167" s="11" t="s">
        <v>15</v>
      </c>
      <c r="D167" s="11" t="s">
        <v>135</v>
      </c>
      <c r="E167" s="12">
        <f>E174+E177+E171+E179+E173+E168+E170+E178+E169</f>
        <v>7127.41</v>
      </c>
      <c r="F167" s="12">
        <f>F174+F177+F171+F179+F173+F168+F170+F178+F169</f>
        <v>6239.4400000000005</v>
      </c>
      <c r="G167" s="93">
        <f t="shared" si="2"/>
        <v>0.87541477198589679</v>
      </c>
    </row>
    <row r="168" spans="1:7" ht="31.5" x14ac:dyDescent="0.25">
      <c r="A168" s="45" t="s">
        <v>594</v>
      </c>
      <c r="B168" s="14" t="s">
        <v>43</v>
      </c>
      <c r="C168" s="14" t="s">
        <v>15</v>
      </c>
      <c r="D168" s="14" t="s">
        <v>445</v>
      </c>
      <c r="E168" s="15">
        <f>прил.3!Z437</f>
        <v>25</v>
      </c>
      <c r="F168" s="15">
        <f>прил.3!AA437</f>
        <v>25</v>
      </c>
      <c r="G168" s="91">
        <f t="shared" si="2"/>
        <v>1</v>
      </c>
    </row>
    <row r="169" spans="1:7" ht="60" x14ac:dyDescent="0.25">
      <c r="A169" s="43" t="s">
        <v>647</v>
      </c>
      <c r="B169" s="14" t="s">
        <v>43</v>
      </c>
      <c r="C169" s="14" t="s">
        <v>15</v>
      </c>
      <c r="D169" s="14" t="s">
        <v>648</v>
      </c>
      <c r="E169" s="15">
        <f>прил.3!Z441</f>
        <v>1.5</v>
      </c>
      <c r="F169" s="15">
        <f>прил.3!AA441</f>
        <v>1.5</v>
      </c>
      <c r="G169" s="91">
        <f t="shared" si="2"/>
        <v>1</v>
      </c>
    </row>
    <row r="170" spans="1:7" ht="31.5" x14ac:dyDescent="0.25">
      <c r="A170" s="19" t="s">
        <v>595</v>
      </c>
      <c r="B170" s="14" t="s">
        <v>43</v>
      </c>
      <c r="C170" s="14" t="s">
        <v>15</v>
      </c>
      <c r="D170" s="14" t="s">
        <v>623</v>
      </c>
      <c r="E170" s="15">
        <f>прил.3!Z439</f>
        <v>34.6</v>
      </c>
      <c r="F170" s="15">
        <f>прил.3!AA439</f>
        <v>34.6</v>
      </c>
      <c r="G170" s="91">
        <f t="shared" si="2"/>
        <v>1</v>
      </c>
    </row>
    <row r="171" spans="1:7" ht="15.75" customHeight="1" x14ac:dyDescent="0.25">
      <c r="A171" s="19" t="s">
        <v>318</v>
      </c>
      <c r="B171" s="14" t="s">
        <v>43</v>
      </c>
      <c r="C171" s="14" t="s">
        <v>15</v>
      </c>
      <c r="D171" s="14" t="s">
        <v>89</v>
      </c>
      <c r="E171" s="15">
        <f>E172</f>
        <v>1823.7299999999998</v>
      </c>
      <c r="F171" s="15">
        <f>F172</f>
        <v>1757.89</v>
      </c>
      <c r="G171" s="91">
        <f t="shared" si="2"/>
        <v>0.96389816475026469</v>
      </c>
    </row>
    <row r="172" spans="1:7" ht="16.5" customHeight="1" x14ac:dyDescent="0.25">
      <c r="A172" s="13" t="s">
        <v>52</v>
      </c>
      <c r="B172" s="14" t="s">
        <v>43</v>
      </c>
      <c r="C172" s="14" t="s">
        <v>15</v>
      </c>
      <c r="D172" s="14" t="s">
        <v>75</v>
      </c>
      <c r="E172" s="15">
        <f>прил.3!Z461</f>
        <v>1823.7299999999998</v>
      </c>
      <c r="F172" s="15">
        <f>прил.3!AA461</f>
        <v>1757.89</v>
      </c>
      <c r="G172" s="91">
        <f t="shared" si="2"/>
        <v>0.96389816475026469</v>
      </c>
    </row>
    <row r="173" spans="1:7" ht="28.5" customHeight="1" x14ac:dyDescent="0.25">
      <c r="A173" s="19" t="s">
        <v>462</v>
      </c>
      <c r="B173" s="14" t="s">
        <v>43</v>
      </c>
      <c r="C173" s="14" t="s">
        <v>15</v>
      </c>
      <c r="D173" s="14" t="s">
        <v>518</v>
      </c>
      <c r="E173" s="15">
        <f>прил.3!Z443</f>
        <v>71.2</v>
      </c>
      <c r="F173" s="15">
        <f>прил.3!AA443</f>
        <v>36</v>
      </c>
      <c r="G173" s="91">
        <f t="shared" si="2"/>
        <v>0.5056179775280899</v>
      </c>
    </row>
    <row r="174" spans="1:7" ht="31.5" x14ac:dyDescent="0.25">
      <c r="A174" s="13" t="s">
        <v>155</v>
      </c>
      <c r="B174" s="14" t="s">
        <v>43</v>
      </c>
      <c r="C174" s="14" t="s">
        <v>15</v>
      </c>
      <c r="D174" s="14" t="s">
        <v>156</v>
      </c>
      <c r="E174" s="15">
        <f>E175+E176</f>
        <v>1106.82</v>
      </c>
      <c r="F174" s="15">
        <f>F175+F176</f>
        <v>660.86</v>
      </c>
      <c r="G174" s="91">
        <f t="shared" si="2"/>
        <v>0.59707992266131804</v>
      </c>
    </row>
    <row r="175" spans="1:7" ht="31.5" x14ac:dyDescent="0.25">
      <c r="A175" s="13" t="s">
        <v>114</v>
      </c>
      <c r="B175" s="14" t="s">
        <v>44</v>
      </c>
      <c r="C175" s="14" t="s">
        <v>15</v>
      </c>
      <c r="D175" s="14" t="s">
        <v>65</v>
      </c>
      <c r="E175" s="15">
        <f>прил.3!Z137</f>
        <v>800</v>
      </c>
      <c r="F175" s="15">
        <f>прил.3!AA137</f>
        <v>660.86</v>
      </c>
      <c r="G175" s="91">
        <f t="shared" si="2"/>
        <v>0.826075</v>
      </c>
    </row>
    <row r="176" spans="1:7" x14ac:dyDescent="0.25">
      <c r="A176" s="43" t="s">
        <v>575</v>
      </c>
      <c r="B176" s="14" t="s">
        <v>43</v>
      </c>
      <c r="C176" s="14" t="s">
        <v>15</v>
      </c>
      <c r="D176" s="14" t="s">
        <v>615</v>
      </c>
      <c r="E176" s="15">
        <f>прил.3!Z139</f>
        <v>306.82</v>
      </c>
      <c r="F176" s="15">
        <f>прил.3!AA139</f>
        <v>0</v>
      </c>
      <c r="G176" s="91">
        <f t="shared" si="2"/>
        <v>0</v>
      </c>
    </row>
    <row r="177" spans="1:7" ht="33" customHeight="1" x14ac:dyDescent="0.25">
      <c r="A177" s="13" t="s">
        <v>157</v>
      </c>
      <c r="B177" s="14" t="s">
        <v>43</v>
      </c>
      <c r="C177" s="14" t="s">
        <v>15</v>
      </c>
      <c r="D177" s="14" t="s">
        <v>120</v>
      </c>
      <c r="E177" s="15">
        <f>прил.3!Z445</f>
        <v>3954.56</v>
      </c>
      <c r="F177" s="15">
        <f>прил.3!AA445</f>
        <v>3614.5399999999995</v>
      </c>
      <c r="G177" s="91">
        <f t="shared" si="2"/>
        <v>0.91401824728920522</v>
      </c>
    </row>
    <row r="178" spans="1:7" ht="51.75" customHeight="1" x14ac:dyDescent="0.25">
      <c r="A178" s="73" t="s">
        <v>661</v>
      </c>
      <c r="B178" s="14" t="s">
        <v>43</v>
      </c>
      <c r="C178" s="14" t="s">
        <v>15</v>
      </c>
      <c r="D178" s="14" t="s">
        <v>660</v>
      </c>
      <c r="E178" s="15">
        <f>прил.3!Z452</f>
        <v>30</v>
      </c>
      <c r="F178" s="15">
        <f>прил.3!AA452</f>
        <v>30</v>
      </c>
      <c r="G178" s="91">
        <f t="shared" si="2"/>
        <v>1</v>
      </c>
    </row>
    <row r="179" spans="1:7" ht="45" x14ac:dyDescent="0.25">
      <c r="A179" s="43" t="s">
        <v>565</v>
      </c>
      <c r="B179" s="14" t="s">
        <v>43</v>
      </c>
      <c r="C179" s="14" t="s">
        <v>15</v>
      </c>
      <c r="D179" s="14" t="s">
        <v>446</v>
      </c>
      <c r="E179" s="15">
        <f>прил.3!Z141</f>
        <v>80</v>
      </c>
      <c r="F179" s="15">
        <f>прил.3!AA141</f>
        <v>79.05</v>
      </c>
      <c r="G179" s="91">
        <f t="shared" si="2"/>
        <v>0.98812499999999992</v>
      </c>
    </row>
    <row r="180" spans="1:7" x14ac:dyDescent="0.25">
      <c r="A180" s="27" t="s">
        <v>203</v>
      </c>
      <c r="B180" s="11" t="s">
        <v>63</v>
      </c>
      <c r="C180" s="11" t="s">
        <v>16</v>
      </c>
      <c r="D180" s="11" t="s">
        <v>135</v>
      </c>
      <c r="E180" s="12">
        <f>E181</f>
        <v>389.45</v>
      </c>
      <c r="F180" s="12">
        <f>F181</f>
        <v>136.32</v>
      </c>
      <c r="G180" s="93">
        <f t="shared" si="2"/>
        <v>0.3500320965464116</v>
      </c>
    </row>
    <row r="181" spans="1:7" x14ac:dyDescent="0.25">
      <c r="A181" s="10" t="s">
        <v>208</v>
      </c>
      <c r="B181" s="11" t="s">
        <v>63</v>
      </c>
      <c r="C181" s="11" t="s">
        <v>63</v>
      </c>
      <c r="D181" s="11" t="s">
        <v>135</v>
      </c>
      <c r="E181" s="12">
        <f>E183+E182</f>
        <v>389.45</v>
      </c>
      <c r="F181" s="12">
        <f>F183+F182</f>
        <v>136.32</v>
      </c>
      <c r="G181" s="93">
        <f t="shared" si="2"/>
        <v>0.3500320965464116</v>
      </c>
    </row>
    <row r="182" spans="1:7" ht="47.25" x14ac:dyDescent="0.25">
      <c r="A182" s="19" t="s">
        <v>683</v>
      </c>
      <c r="B182" s="40" t="s">
        <v>63</v>
      </c>
      <c r="C182" s="40" t="s">
        <v>63</v>
      </c>
      <c r="D182" s="14" t="s">
        <v>663</v>
      </c>
      <c r="E182" s="15">
        <f>прил.3!Z560</f>
        <v>42.95</v>
      </c>
      <c r="F182" s="15">
        <f>прил.3!AA560</f>
        <v>42.94</v>
      </c>
      <c r="G182" s="91">
        <f t="shared" si="2"/>
        <v>0.99976717112921987</v>
      </c>
    </row>
    <row r="183" spans="1:7" x14ac:dyDescent="0.25">
      <c r="A183" s="13" t="s">
        <v>38</v>
      </c>
      <c r="B183" s="14" t="s">
        <v>63</v>
      </c>
      <c r="C183" s="14" t="s">
        <v>63</v>
      </c>
      <c r="D183" s="14" t="s">
        <v>39</v>
      </c>
      <c r="E183" s="15">
        <f>E184+E185</f>
        <v>346.5</v>
      </c>
      <c r="F183" s="15">
        <f>F184+F185</f>
        <v>93.38</v>
      </c>
      <c r="G183" s="91">
        <f t="shared" si="2"/>
        <v>0.26949494949494951</v>
      </c>
    </row>
    <row r="184" spans="1:7" ht="31.5" x14ac:dyDescent="0.25">
      <c r="A184" s="13" t="s">
        <v>205</v>
      </c>
      <c r="B184" s="14" t="s">
        <v>63</v>
      </c>
      <c r="C184" s="14" t="s">
        <v>63</v>
      </c>
      <c r="D184" s="14" t="s">
        <v>174</v>
      </c>
      <c r="E184" s="15">
        <f>прил.3!Z367+прил.3!Z311</f>
        <v>154</v>
      </c>
      <c r="F184" s="15">
        <f>прил.3!AA367+прил.3!AA311</f>
        <v>16</v>
      </c>
      <c r="G184" s="91">
        <f t="shared" si="2"/>
        <v>0.1038961038961039</v>
      </c>
    </row>
    <row r="185" spans="1:7" ht="15" customHeight="1" x14ac:dyDescent="0.25">
      <c r="A185" s="13" t="s">
        <v>206</v>
      </c>
      <c r="B185" s="14" t="s">
        <v>63</v>
      </c>
      <c r="C185" s="14" t="s">
        <v>63</v>
      </c>
      <c r="D185" s="14" t="s">
        <v>175</v>
      </c>
      <c r="E185" s="15">
        <f>прил.3!Z369</f>
        <v>192.5</v>
      </c>
      <c r="F185" s="15">
        <f>прил.3!AA369</f>
        <v>77.38</v>
      </c>
      <c r="G185" s="91">
        <f t="shared" si="2"/>
        <v>0.40197402597402593</v>
      </c>
    </row>
    <row r="186" spans="1:7" x14ac:dyDescent="0.25">
      <c r="A186" s="27" t="s">
        <v>67</v>
      </c>
      <c r="B186" s="11" t="s">
        <v>68</v>
      </c>
      <c r="C186" s="11" t="s">
        <v>16</v>
      </c>
      <c r="D186" s="11" t="s">
        <v>135</v>
      </c>
      <c r="E186" s="12">
        <f>E189+E192+E202+E208+E187</f>
        <v>22553.01</v>
      </c>
      <c r="F186" s="12">
        <f>F189+F192+F202+F208+F187</f>
        <v>20657.689999999999</v>
      </c>
      <c r="G186" s="93">
        <f t="shared" si="2"/>
        <v>0.91596155014341762</v>
      </c>
    </row>
    <row r="187" spans="1:7" hidden="1" x14ac:dyDescent="0.25">
      <c r="A187" s="42" t="s">
        <v>539</v>
      </c>
      <c r="B187" s="11" t="s">
        <v>68</v>
      </c>
      <c r="C187" s="11" t="s">
        <v>15</v>
      </c>
      <c r="D187" s="11" t="s">
        <v>135</v>
      </c>
      <c r="E187" s="12">
        <f>E188</f>
        <v>0</v>
      </c>
      <c r="F187" s="12">
        <f>F188</f>
        <v>0</v>
      </c>
      <c r="G187" s="93" t="e">
        <f t="shared" si="2"/>
        <v>#DIV/0!</v>
      </c>
    </row>
    <row r="188" spans="1:7" ht="31.5" hidden="1" x14ac:dyDescent="0.25">
      <c r="A188" s="19" t="s">
        <v>538</v>
      </c>
      <c r="B188" s="11" t="s">
        <v>68</v>
      </c>
      <c r="C188" s="11" t="s">
        <v>15</v>
      </c>
      <c r="D188" s="11" t="s">
        <v>546</v>
      </c>
      <c r="E188" s="12">
        <f>прил.3!Z376</f>
        <v>0</v>
      </c>
      <c r="F188" s="12">
        <f>прил.3!AA376</f>
        <v>0</v>
      </c>
      <c r="G188" s="93" t="e">
        <f t="shared" si="2"/>
        <v>#DIV/0!</v>
      </c>
    </row>
    <row r="189" spans="1:7" x14ac:dyDescent="0.25">
      <c r="A189" s="10" t="s">
        <v>90</v>
      </c>
      <c r="B189" s="11" t="s">
        <v>68</v>
      </c>
      <c r="C189" s="11" t="s">
        <v>17</v>
      </c>
      <c r="D189" s="11" t="s">
        <v>135</v>
      </c>
      <c r="E189" s="12">
        <f>E190</f>
        <v>3783.2999999999997</v>
      </c>
      <c r="F189" s="12">
        <f>F190</f>
        <v>3783.3</v>
      </c>
      <c r="G189" s="93">
        <f t="shared" si="2"/>
        <v>1.0000000000000002</v>
      </c>
    </row>
    <row r="190" spans="1:7" ht="13.5" customHeight="1" x14ac:dyDescent="0.25">
      <c r="A190" s="13" t="s">
        <v>91</v>
      </c>
      <c r="B190" s="14" t="s">
        <v>68</v>
      </c>
      <c r="C190" s="14" t="s">
        <v>17</v>
      </c>
      <c r="D190" s="14" t="s">
        <v>92</v>
      </c>
      <c r="E190" s="15">
        <f>E191</f>
        <v>3783.2999999999997</v>
      </c>
      <c r="F190" s="15">
        <f>F191</f>
        <v>3783.3</v>
      </c>
      <c r="G190" s="91">
        <f t="shared" si="2"/>
        <v>1.0000000000000002</v>
      </c>
    </row>
    <row r="191" spans="1:7" ht="60" customHeight="1" x14ac:dyDescent="0.25">
      <c r="A191" s="13" t="s">
        <v>191</v>
      </c>
      <c r="B191" s="14" t="s">
        <v>68</v>
      </c>
      <c r="C191" s="14" t="s">
        <v>17</v>
      </c>
      <c r="D191" s="14" t="s">
        <v>93</v>
      </c>
      <c r="E191" s="15">
        <f>прил.3!Z317</f>
        <v>3783.2999999999997</v>
      </c>
      <c r="F191" s="15">
        <f>прил.3!AA317</f>
        <v>3783.3</v>
      </c>
      <c r="G191" s="91">
        <f t="shared" si="2"/>
        <v>1.0000000000000002</v>
      </c>
    </row>
    <row r="192" spans="1:7" x14ac:dyDescent="0.25">
      <c r="A192" s="10" t="s">
        <v>69</v>
      </c>
      <c r="B192" s="11" t="s">
        <v>68</v>
      </c>
      <c r="C192" s="11" t="s">
        <v>20</v>
      </c>
      <c r="D192" s="11" t="s">
        <v>135</v>
      </c>
      <c r="E192" s="12">
        <f>E195+E201+E193+E200+E198+E194+E199</f>
        <v>6038.55</v>
      </c>
      <c r="F192" s="12">
        <f>F195+F201+F193+F200+F198+F194+F199</f>
        <v>4760.8499999999995</v>
      </c>
      <c r="G192" s="93">
        <f t="shared" si="2"/>
        <v>0.78840946916064281</v>
      </c>
    </row>
    <row r="193" spans="1:7" x14ac:dyDescent="0.25">
      <c r="A193" s="13" t="s">
        <v>104</v>
      </c>
      <c r="B193" s="14" t="s">
        <v>68</v>
      </c>
      <c r="C193" s="14" t="s">
        <v>20</v>
      </c>
      <c r="D193" s="14" t="s">
        <v>70</v>
      </c>
      <c r="E193" s="15">
        <f>прил.3!Z379</f>
        <v>1013.6700000000001</v>
      </c>
      <c r="F193" s="15">
        <f>прил.3!AA379</f>
        <v>661.1</v>
      </c>
      <c r="G193" s="91">
        <f t="shared" si="2"/>
        <v>0.65218463602553101</v>
      </c>
    </row>
    <row r="194" spans="1:7" ht="31.5" x14ac:dyDescent="0.25">
      <c r="A194" s="45" t="s">
        <v>592</v>
      </c>
      <c r="B194" s="14" t="s">
        <v>68</v>
      </c>
      <c r="C194" s="14" t="s">
        <v>20</v>
      </c>
      <c r="D194" s="14" t="s">
        <v>620</v>
      </c>
      <c r="E194" s="15">
        <f>прил.3!Z381</f>
        <v>78.91</v>
      </c>
      <c r="F194" s="15">
        <f>прил.3!AA381</f>
        <v>62.5</v>
      </c>
      <c r="G194" s="91">
        <f t="shared" si="2"/>
        <v>0.79204156634140166</v>
      </c>
    </row>
    <row r="195" spans="1:7" ht="14.25" customHeight="1" x14ac:dyDescent="0.25">
      <c r="A195" s="13" t="s">
        <v>71</v>
      </c>
      <c r="B195" s="14" t="s">
        <v>68</v>
      </c>
      <c r="C195" s="14" t="s">
        <v>20</v>
      </c>
      <c r="D195" s="14" t="s">
        <v>159</v>
      </c>
      <c r="E195" s="15">
        <f>E196+E197</f>
        <v>1594.8</v>
      </c>
      <c r="F195" s="15">
        <f>F196+F197</f>
        <v>1013.26</v>
      </c>
      <c r="G195" s="91">
        <f t="shared" si="2"/>
        <v>0.63535239528467524</v>
      </c>
    </row>
    <row r="196" spans="1:7" x14ac:dyDescent="0.25">
      <c r="A196" s="13" t="s">
        <v>72</v>
      </c>
      <c r="B196" s="14" t="s">
        <v>68</v>
      </c>
      <c r="C196" s="14" t="s">
        <v>20</v>
      </c>
      <c r="D196" s="14" t="s">
        <v>73</v>
      </c>
      <c r="E196" s="15">
        <f>прил.3!Z145+прил.3!Z383</f>
        <v>1503.3</v>
      </c>
      <c r="F196" s="15">
        <f>прил.3!AA145+прил.3!AA383</f>
        <v>947.68</v>
      </c>
      <c r="G196" s="91">
        <f t="shared" si="2"/>
        <v>0.63039978713496969</v>
      </c>
    </row>
    <row r="197" spans="1:7" ht="15" customHeight="1" x14ac:dyDescent="0.25">
      <c r="A197" s="45" t="s">
        <v>590</v>
      </c>
      <c r="B197" s="14" t="s">
        <v>68</v>
      </c>
      <c r="C197" s="14" t="s">
        <v>20</v>
      </c>
      <c r="D197" s="14" t="s">
        <v>621</v>
      </c>
      <c r="E197" s="15">
        <f>прил.3!Z385</f>
        <v>91.5</v>
      </c>
      <c r="F197" s="15">
        <f>прил.3!AA385</f>
        <v>65.58</v>
      </c>
      <c r="G197" s="91">
        <f t="shared" si="2"/>
        <v>0.71672131147540985</v>
      </c>
    </row>
    <row r="198" spans="1:7" ht="15.75" customHeight="1" x14ac:dyDescent="0.25">
      <c r="A198" s="43" t="s">
        <v>589</v>
      </c>
      <c r="B198" s="40" t="s">
        <v>68</v>
      </c>
      <c r="C198" s="40" t="s">
        <v>20</v>
      </c>
      <c r="D198" s="40" t="s">
        <v>520</v>
      </c>
      <c r="E198" s="15">
        <f>прил.3!Z387</f>
        <v>483.48</v>
      </c>
      <c r="F198" s="15">
        <f>прил.3!AA387</f>
        <v>383.94</v>
      </c>
      <c r="G198" s="91">
        <f t="shared" si="2"/>
        <v>0.79411764705882348</v>
      </c>
    </row>
    <row r="199" spans="1:7" ht="59.25" customHeight="1" x14ac:dyDescent="0.25">
      <c r="A199" s="43" t="s">
        <v>521</v>
      </c>
      <c r="B199" s="40" t="s">
        <v>68</v>
      </c>
      <c r="C199" s="40" t="s">
        <v>20</v>
      </c>
      <c r="D199" s="40" t="s">
        <v>622</v>
      </c>
      <c r="E199" s="15">
        <f>прил.3!Z389</f>
        <v>415.8</v>
      </c>
      <c r="F199" s="15">
        <f>прил.3!AA389</f>
        <v>415.8</v>
      </c>
      <c r="G199" s="91">
        <f t="shared" si="2"/>
        <v>1</v>
      </c>
    </row>
    <row r="200" spans="1:7" ht="44.25" customHeight="1" x14ac:dyDescent="0.25">
      <c r="A200" s="43" t="s">
        <v>435</v>
      </c>
      <c r="B200" s="14" t="s">
        <v>68</v>
      </c>
      <c r="C200" s="14" t="s">
        <v>20</v>
      </c>
      <c r="D200" s="14" t="s">
        <v>447</v>
      </c>
      <c r="E200" s="15">
        <f>прил.3!Z391</f>
        <v>1026.29</v>
      </c>
      <c r="F200" s="15">
        <f>прил.3!AA391</f>
        <v>889.7</v>
      </c>
      <c r="G200" s="91">
        <f t="shared" si="2"/>
        <v>0.86690896335343814</v>
      </c>
    </row>
    <row r="201" spans="1:7" ht="47.25" x14ac:dyDescent="0.25">
      <c r="A201" s="13" t="s">
        <v>402</v>
      </c>
      <c r="B201" s="14" t="s">
        <v>68</v>
      </c>
      <c r="C201" s="14" t="s">
        <v>20</v>
      </c>
      <c r="D201" s="14" t="s">
        <v>178</v>
      </c>
      <c r="E201" s="15">
        <f>прил.3!Z393</f>
        <v>1425.6</v>
      </c>
      <c r="F201" s="15">
        <f>прил.3!AA393</f>
        <v>1334.55</v>
      </c>
      <c r="G201" s="91">
        <f t="shared" si="2"/>
        <v>0.93613215488215495</v>
      </c>
    </row>
    <row r="202" spans="1:7" x14ac:dyDescent="0.25">
      <c r="A202" s="10" t="s">
        <v>74</v>
      </c>
      <c r="B202" s="11" t="s">
        <v>68</v>
      </c>
      <c r="C202" s="11" t="s">
        <v>24</v>
      </c>
      <c r="D202" s="11" t="s">
        <v>135</v>
      </c>
      <c r="E202" s="12">
        <f>E204+E203</f>
        <v>7884.7699999999995</v>
      </c>
      <c r="F202" s="12">
        <f>F204+F203</f>
        <v>7431.9</v>
      </c>
      <c r="G202" s="93">
        <f t="shared" si="2"/>
        <v>0.94256395557511508</v>
      </c>
    </row>
    <row r="203" spans="1:7" ht="47.25" x14ac:dyDescent="0.25">
      <c r="A203" s="19" t="s">
        <v>566</v>
      </c>
      <c r="B203" s="14" t="s">
        <v>68</v>
      </c>
      <c r="C203" s="14" t="s">
        <v>24</v>
      </c>
      <c r="D203" s="14" t="s">
        <v>445</v>
      </c>
      <c r="E203" s="15">
        <f>прил.3!Z396</f>
        <v>487</v>
      </c>
      <c r="F203" s="15">
        <f>прил.3!AA396</f>
        <v>483</v>
      </c>
      <c r="G203" s="91">
        <f t="shared" si="2"/>
        <v>0.99178644763860369</v>
      </c>
    </row>
    <row r="204" spans="1:7" ht="14.25" customHeight="1" x14ac:dyDescent="0.25">
      <c r="A204" s="13" t="s">
        <v>79</v>
      </c>
      <c r="B204" s="14" t="s">
        <v>68</v>
      </c>
      <c r="C204" s="14" t="s">
        <v>24</v>
      </c>
      <c r="D204" s="14" t="s">
        <v>94</v>
      </c>
      <c r="E204" s="15">
        <f>E205+E206+E207</f>
        <v>7397.7699999999995</v>
      </c>
      <c r="F204" s="15">
        <f>F205+F206+F207</f>
        <v>6948.9</v>
      </c>
      <c r="G204" s="91">
        <f t="shared" si="2"/>
        <v>0.93932360697885986</v>
      </c>
    </row>
    <row r="205" spans="1:7" ht="78" customHeight="1" x14ac:dyDescent="0.25">
      <c r="A205" s="19" t="s">
        <v>314</v>
      </c>
      <c r="B205" s="14" t="s">
        <v>68</v>
      </c>
      <c r="C205" s="14" t="s">
        <v>24</v>
      </c>
      <c r="D205" s="14" t="s">
        <v>117</v>
      </c>
      <c r="E205" s="15">
        <f>прил.3!Z429</f>
        <v>2135.7599999999998</v>
      </c>
      <c r="F205" s="15">
        <f>прил.3!AA429</f>
        <v>2135.7600000000002</v>
      </c>
      <c r="G205" s="91">
        <f t="shared" si="2"/>
        <v>1.0000000000000002</v>
      </c>
    </row>
    <row r="206" spans="1:7" ht="30" customHeight="1" x14ac:dyDescent="0.25">
      <c r="A206" s="19" t="s">
        <v>363</v>
      </c>
      <c r="B206" s="14" t="s">
        <v>68</v>
      </c>
      <c r="C206" s="14" t="s">
        <v>24</v>
      </c>
      <c r="D206" s="40" t="s">
        <v>362</v>
      </c>
      <c r="E206" s="15">
        <f>прил.3!Z148</f>
        <v>728.07</v>
      </c>
      <c r="F206" s="15">
        <f>прил.3!AA148</f>
        <v>728.03</v>
      </c>
      <c r="G206" s="91">
        <f t="shared" si="2"/>
        <v>0.99994506022772522</v>
      </c>
    </row>
    <row r="207" spans="1:7" ht="108.75" customHeight="1" x14ac:dyDescent="0.25">
      <c r="A207" s="19" t="s">
        <v>403</v>
      </c>
      <c r="B207" s="22" t="s">
        <v>68</v>
      </c>
      <c r="C207" s="14" t="s">
        <v>24</v>
      </c>
      <c r="D207" s="14" t="s">
        <v>364</v>
      </c>
      <c r="E207" s="15">
        <f>прил.3!Z153</f>
        <v>4533.9399999999996</v>
      </c>
      <c r="F207" s="15">
        <f>прил.3!AA153</f>
        <v>4085.11</v>
      </c>
      <c r="G207" s="91">
        <f t="shared" ref="G207:G245" si="3">F207/E207</f>
        <v>0.90100662999510372</v>
      </c>
    </row>
    <row r="208" spans="1:7" ht="15.75" customHeight="1" x14ac:dyDescent="0.25">
      <c r="A208" s="10" t="s">
        <v>105</v>
      </c>
      <c r="B208" s="11" t="s">
        <v>68</v>
      </c>
      <c r="C208" s="11" t="s">
        <v>98</v>
      </c>
      <c r="D208" s="11" t="s">
        <v>135</v>
      </c>
      <c r="E208" s="12">
        <f>E209+E210+E211+E212</f>
        <v>4846.3899999999994</v>
      </c>
      <c r="F208" s="12">
        <f>F209+F210+F211+F212</f>
        <v>4681.6400000000003</v>
      </c>
      <c r="G208" s="93">
        <f t="shared" si="3"/>
        <v>0.96600562480526764</v>
      </c>
    </row>
    <row r="209" spans="1:7" x14ac:dyDescent="0.25">
      <c r="A209" s="13" t="s">
        <v>22</v>
      </c>
      <c r="B209" s="14" t="s">
        <v>68</v>
      </c>
      <c r="C209" s="14" t="s">
        <v>98</v>
      </c>
      <c r="D209" s="14" t="s">
        <v>106</v>
      </c>
      <c r="E209" s="15">
        <f>прил.3!Z399</f>
        <v>3271.06</v>
      </c>
      <c r="F209" s="15">
        <f>прил.3!AA399</f>
        <v>3143.86</v>
      </c>
      <c r="G209" s="91">
        <f t="shared" si="3"/>
        <v>0.96111352283357698</v>
      </c>
    </row>
    <row r="210" spans="1:7" ht="29.25" customHeight="1" x14ac:dyDescent="0.25">
      <c r="A210" s="19" t="s">
        <v>306</v>
      </c>
      <c r="B210" s="14" t="s">
        <v>68</v>
      </c>
      <c r="C210" s="14" t="s">
        <v>98</v>
      </c>
      <c r="D210" s="40" t="s">
        <v>365</v>
      </c>
      <c r="E210" s="15">
        <f>прил.3!Z404</f>
        <v>864</v>
      </c>
      <c r="F210" s="15">
        <f>прил.3!AA404</f>
        <v>841.2</v>
      </c>
      <c r="G210" s="91">
        <f t="shared" si="3"/>
        <v>0.9736111111111112</v>
      </c>
    </row>
    <row r="211" spans="1:7" ht="46.5" customHeight="1" x14ac:dyDescent="0.25">
      <c r="A211" s="19" t="s">
        <v>366</v>
      </c>
      <c r="B211" s="14" t="s">
        <v>68</v>
      </c>
      <c r="C211" s="14" t="s">
        <v>98</v>
      </c>
      <c r="D211" s="40" t="s">
        <v>351</v>
      </c>
      <c r="E211" s="15">
        <f>прил.3!Z408</f>
        <v>109.63</v>
      </c>
      <c r="F211" s="15">
        <f>прил.3!AA408</f>
        <v>106.58</v>
      </c>
      <c r="G211" s="91">
        <f t="shared" si="3"/>
        <v>0.97217914804341876</v>
      </c>
    </row>
    <row r="212" spans="1:7" ht="30.75" customHeight="1" x14ac:dyDescent="0.25">
      <c r="A212" s="13" t="s">
        <v>559</v>
      </c>
      <c r="B212" s="14" t="s">
        <v>68</v>
      </c>
      <c r="C212" s="14" t="s">
        <v>98</v>
      </c>
      <c r="D212" s="17" t="s">
        <v>185</v>
      </c>
      <c r="E212" s="15">
        <f>прил.3!Z412</f>
        <v>601.70000000000005</v>
      </c>
      <c r="F212" s="15">
        <f>прил.3!AA412</f>
        <v>590</v>
      </c>
      <c r="G212" s="91">
        <f t="shared" si="3"/>
        <v>0.9805550939006149</v>
      </c>
    </row>
    <row r="213" spans="1:7" x14ac:dyDescent="0.25">
      <c r="A213" s="27" t="s">
        <v>202</v>
      </c>
      <c r="B213" s="11" t="s">
        <v>109</v>
      </c>
      <c r="C213" s="11" t="s">
        <v>16</v>
      </c>
      <c r="D213" s="11" t="s">
        <v>135</v>
      </c>
      <c r="E213" s="12">
        <f>E214</f>
        <v>4964</v>
      </c>
      <c r="F213" s="12">
        <f>F214</f>
        <v>4715.7</v>
      </c>
      <c r="G213" s="93">
        <f t="shared" si="3"/>
        <v>0.94997985495568082</v>
      </c>
    </row>
    <row r="214" spans="1:7" x14ac:dyDescent="0.25">
      <c r="A214" s="13" t="s">
        <v>204</v>
      </c>
      <c r="B214" s="14" t="s">
        <v>109</v>
      </c>
      <c r="C214" s="14" t="s">
        <v>15</v>
      </c>
      <c r="D214" s="14" t="s">
        <v>135</v>
      </c>
      <c r="E214" s="15">
        <f>E215+E219+E218</f>
        <v>4964</v>
      </c>
      <c r="F214" s="15">
        <f>F215+F219+F218</f>
        <v>4715.7</v>
      </c>
      <c r="G214" s="91">
        <f t="shared" si="3"/>
        <v>0.94997985495568082</v>
      </c>
    </row>
    <row r="215" spans="1:7" ht="15.75" customHeight="1" x14ac:dyDescent="0.25">
      <c r="A215" s="13" t="s">
        <v>107</v>
      </c>
      <c r="B215" s="14" t="s">
        <v>109</v>
      </c>
      <c r="C215" s="14" t="s">
        <v>15</v>
      </c>
      <c r="D215" s="14" t="s">
        <v>108</v>
      </c>
      <c r="E215" s="15">
        <f>E216+E217</f>
        <v>1214</v>
      </c>
      <c r="F215" s="15">
        <f>F216+F217</f>
        <v>994.5</v>
      </c>
      <c r="G215" s="91">
        <f t="shared" si="3"/>
        <v>0.81919275123558488</v>
      </c>
    </row>
    <row r="216" spans="1:7" ht="15.75" customHeight="1" x14ac:dyDescent="0.25">
      <c r="A216" s="13" t="s">
        <v>209</v>
      </c>
      <c r="B216" s="14" t="s">
        <v>109</v>
      </c>
      <c r="C216" s="14" t="s">
        <v>15</v>
      </c>
      <c r="D216" s="14" t="s">
        <v>66</v>
      </c>
      <c r="E216" s="15">
        <f>прил.3!Z158</f>
        <v>1100</v>
      </c>
      <c r="F216" s="15">
        <f>прил.3!AA158</f>
        <v>968.5</v>
      </c>
      <c r="G216" s="91">
        <f t="shared" si="3"/>
        <v>0.88045454545454549</v>
      </c>
    </row>
    <row r="217" spans="1:7" ht="15.75" customHeight="1" x14ac:dyDescent="0.25">
      <c r="A217" s="19" t="s">
        <v>578</v>
      </c>
      <c r="B217" s="14" t="s">
        <v>109</v>
      </c>
      <c r="C217" s="14" t="s">
        <v>15</v>
      </c>
      <c r="D217" s="14" t="s">
        <v>616</v>
      </c>
      <c r="E217" s="15">
        <f>прил.3!Z160</f>
        <v>114</v>
      </c>
      <c r="F217" s="15">
        <f>прил.3!AA160</f>
        <v>26</v>
      </c>
      <c r="G217" s="91">
        <f t="shared" si="3"/>
        <v>0.22807017543859648</v>
      </c>
    </row>
    <row r="218" spans="1:7" ht="15.75" customHeight="1" x14ac:dyDescent="0.25">
      <c r="A218" s="19" t="s">
        <v>646</v>
      </c>
      <c r="B218" s="14" t="s">
        <v>109</v>
      </c>
      <c r="C218" s="14" t="s">
        <v>15</v>
      </c>
      <c r="D218" s="14" t="s">
        <v>659</v>
      </c>
      <c r="E218" s="15">
        <f>прил.3!Z326+прил.3!Z163</f>
        <v>250</v>
      </c>
      <c r="F218" s="15">
        <f>прил.3!AA326+прил.3!AA163</f>
        <v>221.2</v>
      </c>
      <c r="G218" s="91">
        <f t="shared" si="3"/>
        <v>0.88479999999999992</v>
      </c>
    </row>
    <row r="219" spans="1:7" ht="15" customHeight="1" x14ac:dyDescent="0.25">
      <c r="A219" s="13" t="s">
        <v>52</v>
      </c>
      <c r="B219" s="14" t="s">
        <v>109</v>
      </c>
      <c r="C219" s="14" t="s">
        <v>15</v>
      </c>
      <c r="D219" s="14" t="s">
        <v>367</v>
      </c>
      <c r="E219" s="15">
        <f>прил.3!Z321</f>
        <v>3500</v>
      </c>
      <c r="F219" s="15">
        <f>прил.3!AA321</f>
        <v>3500</v>
      </c>
      <c r="G219" s="91">
        <f t="shared" si="3"/>
        <v>1</v>
      </c>
    </row>
    <row r="220" spans="1:7" x14ac:dyDescent="0.25">
      <c r="A220" s="27" t="s">
        <v>201</v>
      </c>
      <c r="B220" s="11" t="s">
        <v>27</v>
      </c>
      <c r="C220" s="11" t="s">
        <v>16</v>
      </c>
      <c r="D220" s="11" t="s">
        <v>135</v>
      </c>
      <c r="E220" s="12">
        <f>E221</f>
        <v>1189.3999999999999</v>
      </c>
      <c r="F220" s="12">
        <f>F221</f>
        <v>1189.3999999999999</v>
      </c>
      <c r="G220" s="91">
        <f t="shared" si="3"/>
        <v>1</v>
      </c>
    </row>
    <row r="221" spans="1:7" x14ac:dyDescent="0.25">
      <c r="A221" s="13" t="s">
        <v>158</v>
      </c>
      <c r="B221" s="14" t="s">
        <v>27</v>
      </c>
      <c r="C221" s="14" t="s">
        <v>17</v>
      </c>
      <c r="D221" s="14" t="s">
        <v>135</v>
      </c>
      <c r="E221" s="15">
        <f>E223+E222+E225</f>
        <v>1189.3999999999999</v>
      </c>
      <c r="F221" s="15">
        <f>F223+F222+F225</f>
        <v>1189.3999999999999</v>
      </c>
      <c r="G221" s="91">
        <f t="shared" si="3"/>
        <v>1</v>
      </c>
    </row>
    <row r="222" spans="1:7" x14ac:dyDescent="0.25">
      <c r="A222" s="41" t="s">
        <v>460</v>
      </c>
      <c r="B222" s="14" t="s">
        <v>27</v>
      </c>
      <c r="C222" s="14" t="s">
        <v>17</v>
      </c>
      <c r="D222" s="14" t="s">
        <v>519</v>
      </c>
      <c r="E222" s="15">
        <f>прил.3!Z330</f>
        <v>78.099999999999994</v>
      </c>
      <c r="F222" s="15">
        <f>прил.3!AA330</f>
        <v>78.099999999999994</v>
      </c>
      <c r="G222" s="91">
        <f t="shared" si="3"/>
        <v>1</v>
      </c>
    </row>
    <row r="223" spans="1:7" ht="31.5" x14ac:dyDescent="0.25">
      <c r="A223" s="13" t="s">
        <v>112</v>
      </c>
      <c r="B223" s="14" t="s">
        <v>27</v>
      </c>
      <c r="C223" s="14" t="s">
        <v>17</v>
      </c>
      <c r="D223" s="14" t="s">
        <v>113</v>
      </c>
      <c r="E223" s="15">
        <f>E224</f>
        <v>1061.3</v>
      </c>
      <c r="F223" s="15">
        <f>F224</f>
        <v>1061.3</v>
      </c>
      <c r="G223" s="91">
        <f t="shared" si="3"/>
        <v>1</v>
      </c>
    </row>
    <row r="224" spans="1:7" ht="31.5" x14ac:dyDescent="0.25">
      <c r="A224" s="13" t="s">
        <v>114</v>
      </c>
      <c r="B224" s="14" t="s">
        <v>27</v>
      </c>
      <c r="C224" s="14" t="s">
        <v>17</v>
      </c>
      <c r="D224" s="14" t="s">
        <v>115</v>
      </c>
      <c r="E224" s="15">
        <f>прил.3!Z332</f>
        <v>1061.3</v>
      </c>
      <c r="F224" s="15">
        <f>прил.3!AA332</f>
        <v>1061.3</v>
      </c>
      <c r="G224" s="91">
        <f t="shared" si="3"/>
        <v>1</v>
      </c>
    </row>
    <row r="225" spans="1:7" x14ac:dyDescent="0.25">
      <c r="A225" s="13" t="s">
        <v>79</v>
      </c>
      <c r="B225" s="14" t="s">
        <v>27</v>
      </c>
      <c r="C225" s="14" t="s">
        <v>17</v>
      </c>
      <c r="D225" s="14" t="s">
        <v>94</v>
      </c>
      <c r="E225" s="15">
        <f>E226</f>
        <v>50</v>
      </c>
      <c r="F225" s="15">
        <f>F226</f>
        <v>50</v>
      </c>
      <c r="G225" s="91">
        <f t="shared" si="3"/>
        <v>1</v>
      </c>
    </row>
    <row r="226" spans="1:7" ht="31.5" x14ac:dyDescent="0.25">
      <c r="A226" s="19" t="s">
        <v>684</v>
      </c>
      <c r="B226" s="14" t="s">
        <v>27</v>
      </c>
      <c r="C226" s="14" t="s">
        <v>17</v>
      </c>
      <c r="D226" s="14" t="s">
        <v>541</v>
      </c>
      <c r="E226" s="15">
        <f>прил.3!Z334</f>
        <v>50</v>
      </c>
      <c r="F226" s="15">
        <f>прил.3!AA334</f>
        <v>50</v>
      </c>
      <c r="G226" s="91">
        <f t="shared" si="3"/>
        <v>1</v>
      </c>
    </row>
    <row r="227" spans="1:7" ht="29.25" x14ac:dyDescent="0.25">
      <c r="A227" s="27" t="s">
        <v>196</v>
      </c>
      <c r="B227" s="11" t="s">
        <v>195</v>
      </c>
      <c r="C227" s="11" t="s">
        <v>16</v>
      </c>
      <c r="D227" s="11" t="s">
        <v>135</v>
      </c>
      <c r="E227" s="12">
        <f>E228</f>
        <v>1558.2200000000003</v>
      </c>
      <c r="F227" s="12">
        <f>F228</f>
        <v>1484.5</v>
      </c>
      <c r="G227" s="93">
        <f t="shared" si="3"/>
        <v>0.95268960737251462</v>
      </c>
    </row>
    <row r="228" spans="1:7" ht="31.5" x14ac:dyDescent="0.25">
      <c r="A228" s="10" t="s">
        <v>197</v>
      </c>
      <c r="B228" s="11" t="s">
        <v>195</v>
      </c>
      <c r="C228" s="11" t="s">
        <v>15</v>
      </c>
      <c r="D228" s="11" t="s">
        <v>135</v>
      </c>
      <c r="E228" s="12">
        <f>E229</f>
        <v>1558.2200000000003</v>
      </c>
      <c r="F228" s="12">
        <f>F229</f>
        <v>1484.5</v>
      </c>
      <c r="G228" s="93">
        <f t="shared" si="3"/>
        <v>0.95268960737251462</v>
      </c>
    </row>
    <row r="229" spans="1:7" x14ac:dyDescent="0.25">
      <c r="A229" s="13" t="s">
        <v>111</v>
      </c>
      <c r="B229" s="14" t="s">
        <v>195</v>
      </c>
      <c r="C229" s="14" t="s">
        <v>15</v>
      </c>
      <c r="D229" s="14" t="s">
        <v>110</v>
      </c>
      <c r="E229" s="15">
        <f>прил.3!Z338</f>
        <v>1558.2200000000003</v>
      </c>
      <c r="F229" s="15">
        <f>прил.3!AA338</f>
        <v>1484.5</v>
      </c>
      <c r="G229" s="91">
        <f t="shared" si="3"/>
        <v>0.95268960737251462</v>
      </c>
    </row>
    <row r="230" spans="1:7" ht="43.5" customHeight="1" x14ac:dyDescent="0.25">
      <c r="A230" s="27" t="s">
        <v>198</v>
      </c>
      <c r="B230" s="11" t="s">
        <v>30</v>
      </c>
      <c r="C230" s="11" t="s">
        <v>16</v>
      </c>
      <c r="D230" s="11" t="s">
        <v>135</v>
      </c>
      <c r="E230" s="12">
        <f>E231+E234+E236</f>
        <v>23787.199999999997</v>
      </c>
      <c r="F230" s="12">
        <f>F231+F234+F236</f>
        <v>23764</v>
      </c>
      <c r="G230" s="93">
        <f t="shared" si="3"/>
        <v>0.99902468554516732</v>
      </c>
    </row>
    <row r="231" spans="1:7" ht="27.75" customHeight="1" x14ac:dyDescent="0.25">
      <c r="A231" s="10" t="s">
        <v>199</v>
      </c>
      <c r="B231" s="11" t="s">
        <v>30</v>
      </c>
      <c r="C231" s="11" t="s">
        <v>15</v>
      </c>
      <c r="D231" s="11" t="s">
        <v>135</v>
      </c>
      <c r="E231" s="12">
        <f>E232</f>
        <v>16461.099999999999</v>
      </c>
      <c r="F231" s="12">
        <f>F232</f>
        <v>16461.099999999999</v>
      </c>
      <c r="G231" s="93">
        <f t="shared" si="3"/>
        <v>1</v>
      </c>
    </row>
    <row r="232" spans="1:7" x14ac:dyDescent="0.25">
      <c r="A232" s="13" t="s">
        <v>160</v>
      </c>
      <c r="B232" s="14" t="s">
        <v>30</v>
      </c>
      <c r="C232" s="14" t="s">
        <v>15</v>
      </c>
      <c r="D232" s="14" t="s">
        <v>161</v>
      </c>
      <c r="E232" s="15">
        <f>E233</f>
        <v>16461.099999999999</v>
      </c>
      <c r="F232" s="15">
        <f>F233</f>
        <v>16461.099999999999</v>
      </c>
      <c r="G232" s="91">
        <f t="shared" si="3"/>
        <v>1</v>
      </c>
    </row>
    <row r="233" spans="1:7" ht="29.25" customHeight="1" x14ac:dyDescent="0.25">
      <c r="A233" s="13" t="s">
        <v>116</v>
      </c>
      <c r="B233" s="14" t="s">
        <v>30</v>
      </c>
      <c r="C233" s="14" t="s">
        <v>15</v>
      </c>
      <c r="D233" s="14" t="s">
        <v>162</v>
      </c>
      <c r="E233" s="15">
        <f>прил.3!Z342</f>
        <v>16461.099999999999</v>
      </c>
      <c r="F233" s="15">
        <f>прил.3!AA342</f>
        <v>16461.099999999999</v>
      </c>
      <c r="G233" s="91">
        <f t="shared" si="3"/>
        <v>1</v>
      </c>
    </row>
    <row r="234" spans="1:7" x14ac:dyDescent="0.25">
      <c r="A234" s="18" t="s">
        <v>200</v>
      </c>
      <c r="B234" s="11" t="s">
        <v>30</v>
      </c>
      <c r="C234" s="11" t="s">
        <v>17</v>
      </c>
      <c r="D234" s="11" t="s">
        <v>194</v>
      </c>
      <c r="E234" s="12">
        <f>E235</f>
        <v>2200</v>
      </c>
      <c r="F234" s="12">
        <f>F235</f>
        <v>2200</v>
      </c>
      <c r="G234" s="93">
        <f t="shared" si="3"/>
        <v>1</v>
      </c>
    </row>
    <row r="235" spans="1:7" ht="30.75" customHeight="1" x14ac:dyDescent="0.25">
      <c r="A235" s="1" t="s">
        <v>192</v>
      </c>
      <c r="B235" s="14" t="s">
        <v>30</v>
      </c>
      <c r="C235" s="14" t="s">
        <v>17</v>
      </c>
      <c r="D235" s="14" t="s">
        <v>193</v>
      </c>
      <c r="E235" s="15">
        <f>прил.3!Z345</f>
        <v>2200</v>
      </c>
      <c r="F235" s="15">
        <f>прил.3!AA345</f>
        <v>2200</v>
      </c>
      <c r="G235" s="91">
        <f t="shared" si="3"/>
        <v>1</v>
      </c>
    </row>
    <row r="236" spans="1:7" ht="15.75" customHeight="1" x14ac:dyDescent="0.25">
      <c r="A236" s="41" t="s">
        <v>418</v>
      </c>
      <c r="B236" s="11" t="s">
        <v>30</v>
      </c>
      <c r="C236" s="11" t="s">
        <v>20</v>
      </c>
      <c r="D236" s="11" t="s">
        <v>135</v>
      </c>
      <c r="E236" s="12">
        <f>E237+E239</f>
        <v>5126.1000000000004</v>
      </c>
      <c r="F236" s="12">
        <f>F237+F239</f>
        <v>5102.8999999999996</v>
      </c>
      <c r="G236" s="93">
        <f t="shared" si="3"/>
        <v>0.99547414213534646</v>
      </c>
    </row>
    <row r="237" spans="1:7" ht="15.75" customHeight="1" x14ac:dyDescent="0.25">
      <c r="A237" s="10" t="s">
        <v>79</v>
      </c>
      <c r="B237" s="11" t="s">
        <v>30</v>
      </c>
      <c r="C237" s="11" t="s">
        <v>20</v>
      </c>
      <c r="D237" s="11" t="s">
        <v>94</v>
      </c>
      <c r="E237" s="12">
        <f>E238</f>
        <v>921</v>
      </c>
      <c r="F237" s="12">
        <f>F238</f>
        <v>921</v>
      </c>
      <c r="G237" s="93">
        <f t="shared" si="3"/>
        <v>1</v>
      </c>
    </row>
    <row r="238" spans="1:7" ht="29.25" customHeight="1" x14ac:dyDescent="0.25">
      <c r="A238" s="19" t="s">
        <v>684</v>
      </c>
      <c r="B238" s="14" t="s">
        <v>30</v>
      </c>
      <c r="C238" s="14" t="s">
        <v>20</v>
      </c>
      <c r="D238" s="14" t="s">
        <v>541</v>
      </c>
      <c r="E238" s="15">
        <f>прил.3!Z347</f>
        <v>921</v>
      </c>
      <c r="F238" s="15">
        <f>прил.3!AA347</f>
        <v>921</v>
      </c>
      <c r="G238" s="91">
        <f t="shared" si="3"/>
        <v>1</v>
      </c>
    </row>
    <row r="239" spans="1:7" ht="16.5" customHeight="1" x14ac:dyDescent="0.25">
      <c r="A239" s="19" t="s">
        <v>542</v>
      </c>
      <c r="B239" s="14" t="s">
        <v>30</v>
      </c>
      <c r="C239" s="14" t="s">
        <v>20</v>
      </c>
      <c r="D239" s="14" t="s">
        <v>543</v>
      </c>
      <c r="E239" s="15">
        <f>E240+E241</f>
        <v>4205.1000000000004</v>
      </c>
      <c r="F239" s="15">
        <f>F240+F241</f>
        <v>4181.8999999999996</v>
      </c>
      <c r="G239" s="91">
        <f t="shared" si="3"/>
        <v>0.99448288982426081</v>
      </c>
    </row>
    <row r="240" spans="1:7" ht="46.5" customHeight="1" x14ac:dyDescent="0.25">
      <c r="A240" s="45" t="s">
        <v>421</v>
      </c>
      <c r="B240" s="14" t="s">
        <v>30</v>
      </c>
      <c r="C240" s="14" t="s">
        <v>20</v>
      </c>
      <c r="D240" s="14" t="s">
        <v>544</v>
      </c>
      <c r="E240" s="15">
        <f>прил.3!Z349</f>
        <v>376</v>
      </c>
      <c r="F240" s="15">
        <f>прил.3!AA349</f>
        <v>376</v>
      </c>
      <c r="G240" s="91">
        <f t="shared" si="3"/>
        <v>1</v>
      </c>
    </row>
    <row r="241" spans="1:7" ht="29.25" customHeight="1" x14ac:dyDescent="0.25">
      <c r="A241" s="45" t="s">
        <v>523</v>
      </c>
      <c r="B241" s="14" t="s">
        <v>30</v>
      </c>
      <c r="C241" s="14" t="s">
        <v>20</v>
      </c>
      <c r="D241" s="14" t="s">
        <v>545</v>
      </c>
      <c r="E241" s="15">
        <f>прил.3!Z351</f>
        <v>3829.1000000000004</v>
      </c>
      <c r="F241" s="15">
        <f>прил.3!AA351</f>
        <v>3805.9</v>
      </c>
      <c r="G241" s="91">
        <f t="shared" si="3"/>
        <v>0.99394113499255687</v>
      </c>
    </row>
    <row r="242" spans="1:7" ht="16.5" thickBot="1" x14ac:dyDescent="0.3">
      <c r="A242" s="23" t="s">
        <v>163</v>
      </c>
      <c r="B242" s="24"/>
      <c r="C242" s="24"/>
      <c r="D242" s="24"/>
      <c r="E242" s="25">
        <f>E9+E47+E82+E103+E166+E180+E186+E230+E44+E50+E227+E220+E213</f>
        <v>719505.9</v>
      </c>
      <c r="F242" s="25">
        <f>F9+F47+F82+F103+F166+F180+F186+F230+F44+F50+F227+F220+F213</f>
        <v>467738.6</v>
      </c>
      <c r="G242" s="94">
        <f t="shared" si="3"/>
        <v>0.65008306394707804</v>
      </c>
    </row>
    <row r="243" spans="1:7" hidden="1" x14ac:dyDescent="0.25">
      <c r="E243" s="16">
        <f>E242-прил.3!Z586</f>
        <v>0</v>
      </c>
      <c r="F243" s="16">
        <f>F242-прил.3!AA586</f>
        <v>0</v>
      </c>
      <c r="G243" s="89" t="e">
        <f t="shared" si="3"/>
        <v>#DIV/0!</v>
      </c>
    </row>
    <row r="244" spans="1:7" hidden="1" x14ac:dyDescent="0.25">
      <c r="E244" s="16">
        <f>E242-прил.3!Z586</f>
        <v>0</v>
      </c>
      <c r="F244" s="16">
        <f>F242-прил.3!AA586</f>
        <v>0</v>
      </c>
      <c r="G244" s="89" t="e">
        <f t="shared" si="3"/>
        <v>#DIV/0!</v>
      </c>
    </row>
    <row r="245" spans="1:7" hidden="1" x14ac:dyDescent="0.25">
      <c r="E245" s="81">
        <f>E242-прил.3!Z586</f>
        <v>0</v>
      </c>
      <c r="F245" s="81">
        <f>F242-прил.3!AA586</f>
        <v>0</v>
      </c>
      <c r="G245" s="89" t="e">
        <f t="shared" si="3"/>
        <v>#DIV/0!</v>
      </c>
    </row>
  </sheetData>
  <mergeCells count="5">
    <mergeCell ref="A1:G1"/>
    <mergeCell ref="A2:G2"/>
    <mergeCell ref="A3:G3"/>
    <mergeCell ref="A4:G4"/>
    <mergeCell ref="A6:G6"/>
  </mergeCells>
  <pageMargins left="0.51181102362204722" right="0.19685039370078741" top="0.55118110236220474" bottom="7.874015748031496E-2" header="0.11811023622047245" footer="0.11811023622047245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прил.3</vt:lpstr>
      <vt:lpstr>прил.4</vt:lpstr>
      <vt:lpstr>прил.3!Заголовки_для_печати</vt:lpstr>
      <vt:lpstr>прил.4!Заголовки_для_печати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2013-04-16T09:35:26Z</dcterms:modified>
</cp:coreProperties>
</file>