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80" yWindow="240" windowWidth="17880" windowHeight="10530" tabRatio="202" activeTab="1"/>
  </bookViews>
  <sheets>
    <sheet name="прил.3" sheetId="9" r:id="rId1"/>
    <sheet name="прил.4" sheetId="11" r:id="rId2"/>
    <sheet name="Лист1" sheetId="12" r:id="rId3"/>
  </sheets>
  <definedNames>
    <definedName name="_xlnm._FilterDatabase" localSheetId="0" hidden="1">прил.3!$A$13:$G$495</definedName>
    <definedName name="_xlnm.Print_Titles" localSheetId="0">прил.3!$13:$15</definedName>
    <definedName name="_xlnm.Print_Titles" localSheetId="1">прил.4!$12:$12</definedName>
  </definedNames>
  <calcPr calcId="145621"/>
</workbook>
</file>

<file path=xl/calcChain.xml><?xml version="1.0" encoding="utf-8"?>
<calcChain xmlns="http://schemas.openxmlformats.org/spreadsheetml/2006/main">
  <c r="Q319" i="9" l="1"/>
  <c r="Q318" i="9" s="1"/>
  <c r="Q84" i="9"/>
  <c r="Q83" i="9" s="1"/>
  <c r="E65" i="11" s="1"/>
  <c r="P559" i="9"/>
  <c r="Q82" i="9"/>
  <c r="Q81" i="9" s="1"/>
  <c r="E64" i="11" l="1"/>
  <c r="E63" i="11" s="1"/>
  <c r="Q80" i="9"/>
  <c r="Q77" i="9"/>
  <c r="Q76" i="9" s="1"/>
  <c r="Q75" i="9" s="1"/>
  <c r="O323" i="9"/>
  <c r="Q323" i="9" s="1"/>
  <c r="N74" i="9"/>
  <c r="E91" i="11"/>
  <c r="N475" i="9" l="1"/>
  <c r="N497" i="9"/>
  <c r="E146" i="11" s="1"/>
  <c r="N244" i="9"/>
  <c r="O497" i="9"/>
  <c r="N423" i="9"/>
  <c r="N422" i="9"/>
  <c r="O422" i="9" s="1"/>
  <c r="N459" i="9"/>
  <c r="O459" i="9" s="1"/>
  <c r="O455" i="9"/>
  <c r="O415" i="9"/>
  <c r="O423" i="9"/>
  <c r="O395" i="9"/>
  <c r="O334" i="9"/>
  <c r="O309" i="9"/>
  <c r="Q309" i="9" s="1"/>
  <c r="O283" i="9"/>
  <c r="O278" i="9"/>
  <c r="O269" i="9"/>
  <c r="Q269" i="9" s="1"/>
  <c r="O268" i="9"/>
  <c r="Q268" i="9" s="1"/>
  <c r="Q267" i="9" s="1"/>
  <c r="O458" i="9" l="1"/>
  <c r="E94" i="11" s="1"/>
  <c r="Q459" i="9"/>
  <c r="Q458" i="9" s="1"/>
  <c r="O277" i="9"/>
  <c r="Q278" i="9"/>
  <c r="Q277" i="9" s="1"/>
  <c r="O282" i="9"/>
  <c r="E158" i="11" s="1"/>
  <c r="Q283" i="9"/>
  <c r="Q282" i="9" s="1"/>
  <c r="O333" i="9"/>
  <c r="Q334" i="9"/>
  <c r="Q333" i="9" s="1"/>
  <c r="Q423" i="9"/>
  <c r="E61" i="11"/>
  <c r="O454" i="9"/>
  <c r="Q455" i="9"/>
  <c r="Q454" i="9" s="1"/>
  <c r="O394" i="9"/>
  <c r="E173" i="11" s="1"/>
  <c r="Q395" i="9"/>
  <c r="Q394" i="9" s="1"/>
  <c r="Q415" i="9"/>
  <c r="E67" i="11"/>
  <c r="Q422" i="9"/>
  <c r="E60" i="11"/>
  <c r="O496" i="9"/>
  <c r="Q497" i="9"/>
  <c r="Q496" i="9" s="1"/>
  <c r="O267" i="9"/>
  <c r="E144" i="11" s="1"/>
  <c r="N266" i="9"/>
  <c r="O254" i="9"/>
  <c r="Q254" i="9" s="1"/>
  <c r="O253" i="9"/>
  <c r="Q253" i="9" s="1"/>
  <c r="O236" i="9"/>
  <c r="O235" i="9"/>
  <c r="Q235" i="9" s="1"/>
  <c r="O215" i="9"/>
  <c r="O209" i="9"/>
  <c r="O194" i="9"/>
  <c r="O143" i="9"/>
  <c r="O105" i="9"/>
  <c r="Q105" i="9" s="1"/>
  <c r="O104" i="9"/>
  <c r="Q104" i="9" s="1"/>
  <c r="O95" i="9"/>
  <c r="O93" i="9"/>
  <c r="Q103" i="9" l="1"/>
  <c r="Q252" i="9"/>
  <c r="O142" i="9"/>
  <c r="E193" i="11" s="1"/>
  <c r="Q143" i="9"/>
  <c r="Q142" i="9" s="1"/>
  <c r="O208" i="9"/>
  <c r="E110" i="11" s="1"/>
  <c r="Q209" i="9"/>
  <c r="Q208" i="9" s="1"/>
  <c r="O92" i="9"/>
  <c r="E85" i="11" s="1"/>
  <c r="Q93" i="9"/>
  <c r="Q92" i="9" s="1"/>
  <c r="O94" i="9"/>
  <c r="E86" i="11" s="1"/>
  <c r="Q95" i="9"/>
  <c r="Q94" i="9" s="1"/>
  <c r="O193" i="9"/>
  <c r="E74" i="11" s="1"/>
  <c r="Q194" i="9"/>
  <c r="Q193" i="9" s="1"/>
  <c r="O214" i="9"/>
  <c r="E120" i="11" s="1"/>
  <c r="Q215" i="9"/>
  <c r="Q214" i="9" s="1"/>
  <c r="O234" i="9"/>
  <c r="Q236" i="9"/>
  <c r="Q234" i="9" s="1"/>
  <c r="O252" i="9"/>
  <c r="E140" i="11" s="1"/>
  <c r="O103" i="9"/>
  <c r="O77" i="9" l="1"/>
  <c r="O76" i="9" s="1"/>
  <c r="O75" i="9" s="1"/>
  <c r="N559" i="9"/>
  <c r="L99" i="9"/>
  <c r="L241" i="9"/>
  <c r="M535" i="9"/>
  <c r="O535" i="9" s="1"/>
  <c r="Q535" i="9" s="1"/>
  <c r="L536" i="9"/>
  <c r="M97" i="9"/>
  <c r="O97" i="9" s="1"/>
  <c r="O96" i="9" l="1"/>
  <c r="E87" i="11" s="1"/>
  <c r="Q97" i="9"/>
  <c r="Q96" i="9" s="1"/>
  <c r="M96" i="9"/>
  <c r="L244" i="9"/>
  <c r="L266" i="9"/>
  <c r="L53" i="9"/>
  <c r="L482" i="9"/>
  <c r="L21" i="9"/>
  <c r="L554" i="9"/>
  <c r="L534" i="9"/>
  <c r="L24" i="9"/>
  <c r="M522" i="9" l="1"/>
  <c r="L531" i="9"/>
  <c r="O522" i="9" l="1"/>
  <c r="M439" i="9"/>
  <c r="M495" i="9"/>
  <c r="M486" i="9"/>
  <c r="M488" i="9"/>
  <c r="M482" i="9"/>
  <c r="M467" i="9"/>
  <c r="M447" i="9"/>
  <c r="M473" i="9"/>
  <c r="M471" i="9"/>
  <c r="M469" i="9"/>
  <c r="M465" i="9"/>
  <c r="M463" i="9"/>
  <c r="M461" i="9"/>
  <c r="Q522" i="9" l="1"/>
  <c r="E99" i="11"/>
  <c r="M460" i="9"/>
  <c r="O461" i="9"/>
  <c r="M464" i="9"/>
  <c r="O465" i="9"/>
  <c r="M446" i="9"/>
  <c r="O447" i="9"/>
  <c r="M481" i="9"/>
  <c r="O482" i="9"/>
  <c r="M485" i="9"/>
  <c r="O486" i="9"/>
  <c r="M438" i="9"/>
  <c r="O439" i="9"/>
  <c r="M470" i="9"/>
  <c r="O471" i="9"/>
  <c r="M462" i="9"/>
  <c r="O463" i="9"/>
  <c r="M468" i="9"/>
  <c r="O469" i="9"/>
  <c r="M472" i="9"/>
  <c r="O473" i="9"/>
  <c r="M466" i="9"/>
  <c r="O467" i="9"/>
  <c r="M487" i="9"/>
  <c r="O488" i="9"/>
  <c r="M494" i="9"/>
  <c r="O495" i="9"/>
  <c r="M480" i="9"/>
  <c r="M493" i="9"/>
  <c r="M434" i="9"/>
  <c r="M413" i="9"/>
  <c r="O413" i="9" s="1"/>
  <c r="Q413" i="9" s="1"/>
  <c r="M412" i="9"/>
  <c r="M410" i="9"/>
  <c r="M172" i="9"/>
  <c r="M158" i="9"/>
  <c r="M145" i="9"/>
  <c r="L128" i="9"/>
  <c r="M116" i="9"/>
  <c r="M108" i="9"/>
  <c r="M89" i="9"/>
  <c r="M74" i="9"/>
  <c r="O74" i="9" s="1"/>
  <c r="Q74" i="9" s="1"/>
  <c r="M70" i="9"/>
  <c r="M387" i="9"/>
  <c r="M503" i="9"/>
  <c r="O503" i="9" s="1"/>
  <c r="Q503" i="9" s="1"/>
  <c r="M280" i="9"/>
  <c r="M263" i="9"/>
  <c r="M250" i="9"/>
  <c r="O250" i="9" s="1"/>
  <c r="M251" i="9"/>
  <c r="O251" i="9" s="1"/>
  <c r="Q251" i="9" s="1"/>
  <c r="M232" i="9"/>
  <c r="O232" i="9" s="1"/>
  <c r="M233" i="9"/>
  <c r="O233" i="9" s="1"/>
  <c r="Q233" i="9" s="1"/>
  <c r="M230" i="9"/>
  <c r="O230" i="9" s="1"/>
  <c r="Q230" i="9" s="1"/>
  <c r="M229" i="9"/>
  <c r="O229" i="9" s="1"/>
  <c r="Q229" i="9" s="1"/>
  <c r="M220" i="9"/>
  <c r="M206" i="9"/>
  <c r="M201" i="9"/>
  <c r="O201" i="9" s="1"/>
  <c r="Q201" i="9" s="1"/>
  <c r="M200" i="9"/>
  <c r="O200" i="9" s="1"/>
  <c r="Q200" i="9" s="1"/>
  <c r="Q199" i="9" s="1"/>
  <c r="Q198" i="9" s="1"/>
  <c r="M196" i="9"/>
  <c r="M187" i="9"/>
  <c r="O187" i="9" s="1"/>
  <c r="M549" i="9"/>
  <c r="M538" i="9"/>
  <c r="O538" i="9" s="1"/>
  <c r="Q538" i="9" s="1"/>
  <c r="M537" i="9"/>
  <c r="O537" i="9" s="1"/>
  <c r="Q537" i="9" s="1"/>
  <c r="M531" i="9"/>
  <c r="M529" i="9"/>
  <c r="M527" i="9"/>
  <c r="M525" i="9"/>
  <c r="M521" i="9"/>
  <c r="O521" i="9" s="1"/>
  <c r="M519" i="9"/>
  <c r="M516" i="9"/>
  <c r="M512" i="9"/>
  <c r="M368" i="9"/>
  <c r="O368" i="9" s="1"/>
  <c r="Q368" i="9" s="1"/>
  <c r="M363" i="9"/>
  <c r="O363" i="9" s="1"/>
  <c r="Q363" i="9" s="1"/>
  <c r="M360" i="9"/>
  <c r="O360" i="9" s="1"/>
  <c r="Q360" i="9" s="1"/>
  <c r="M357" i="9"/>
  <c r="O357" i="9" s="1"/>
  <c r="Q357" i="9" s="1"/>
  <c r="M351" i="9"/>
  <c r="L347" i="9"/>
  <c r="M345" i="9"/>
  <c r="M338" i="9"/>
  <c r="M186" i="9"/>
  <c r="M77" i="9"/>
  <c r="M76" i="9" s="1"/>
  <c r="M75" i="9" s="1"/>
  <c r="G247" i="9"/>
  <c r="J418" i="9"/>
  <c r="J559" i="9"/>
  <c r="K99" i="9"/>
  <c r="M99" i="9" s="1"/>
  <c r="K87" i="9"/>
  <c r="K86" i="9" s="1"/>
  <c r="K85" i="9" s="1"/>
  <c r="K79" i="9" s="1"/>
  <c r="K102" i="9"/>
  <c r="M102" i="9" s="1"/>
  <c r="G50" i="9"/>
  <c r="K186" i="9"/>
  <c r="K77" i="9"/>
  <c r="K76" i="9" s="1"/>
  <c r="K75" i="9" s="1"/>
  <c r="G53" i="9"/>
  <c r="G445" i="9"/>
  <c r="G155" i="9"/>
  <c r="H111" i="9"/>
  <c r="G342" i="9"/>
  <c r="G443" i="9"/>
  <c r="H443" i="9"/>
  <c r="G441" i="9"/>
  <c r="G437" i="9"/>
  <c r="G417" i="9"/>
  <c r="G418" i="9"/>
  <c r="I418" i="9" s="1"/>
  <c r="K418" i="9" s="1"/>
  <c r="M418" i="9" s="1"/>
  <c r="O418" i="9" s="1"/>
  <c r="Q418" i="9" s="1"/>
  <c r="I558" i="9"/>
  <c r="K558" i="9" s="1"/>
  <c r="M558" i="9" s="1"/>
  <c r="O558" i="9" s="1"/>
  <c r="Q558" i="9" s="1"/>
  <c r="I557" i="9"/>
  <c r="K557" i="9" s="1"/>
  <c r="M557" i="9" s="1"/>
  <c r="O557" i="9" s="1"/>
  <c r="Q557" i="9" s="1"/>
  <c r="I547" i="9"/>
  <c r="K547" i="9" s="1"/>
  <c r="M547" i="9" s="1"/>
  <c r="O547" i="9" s="1"/>
  <c r="Q547" i="9" s="1"/>
  <c r="I546" i="9"/>
  <c r="K546" i="9" s="1"/>
  <c r="M546" i="9" s="1"/>
  <c r="O546" i="9" s="1"/>
  <c r="Q546" i="9" s="1"/>
  <c r="I545" i="9"/>
  <c r="K545" i="9" s="1"/>
  <c r="M545" i="9" s="1"/>
  <c r="O545" i="9" s="1"/>
  <c r="Q545" i="9" s="1"/>
  <c r="I536" i="9"/>
  <c r="K536" i="9" s="1"/>
  <c r="M536" i="9" s="1"/>
  <c r="O536" i="9" s="1"/>
  <c r="Q536" i="9" s="1"/>
  <c r="I534" i="9"/>
  <c r="I507" i="9"/>
  <c r="K507" i="9" s="1"/>
  <c r="M507" i="9" s="1"/>
  <c r="O507" i="9" s="1"/>
  <c r="Q507" i="9" s="1"/>
  <c r="I506" i="9"/>
  <c r="K506" i="9" s="1"/>
  <c r="M506" i="9" s="1"/>
  <c r="O506" i="9" s="1"/>
  <c r="Q506" i="9" s="1"/>
  <c r="I505" i="9"/>
  <c r="K505" i="9" s="1"/>
  <c r="M505" i="9" s="1"/>
  <c r="O505" i="9" s="1"/>
  <c r="Q505" i="9" s="1"/>
  <c r="I504" i="9"/>
  <c r="K504" i="9" s="1"/>
  <c r="M504" i="9" s="1"/>
  <c r="O504" i="9" s="1"/>
  <c r="Q504" i="9" s="1"/>
  <c r="I502" i="9"/>
  <c r="K502" i="9" s="1"/>
  <c r="M502" i="9" s="1"/>
  <c r="O502" i="9" s="1"/>
  <c r="Q502" i="9" s="1"/>
  <c r="I492" i="9"/>
  <c r="K492" i="9" s="1"/>
  <c r="K491" i="9" s="1"/>
  <c r="I490" i="9"/>
  <c r="K490" i="9" s="1"/>
  <c r="K489" i="9" s="1"/>
  <c r="I479" i="9"/>
  <c r="I478" i="9" s="1"/>
  <c r="I477" i="9"/>
  <c r="I476" i="9" s="1"/>
  <c r="I475" i="9"/>
  <c r="K475" i="9" s="1"/>
  <c r="K474" i="9" s="1"/>
  <c r="I457" i="9"/>
  <c r="K457" i="9" s="1"/>
  <c r="M457" i="9" s="1"/>
  <c r="O457" i="9" s="1"/>
  <c r="Q457" i="9" s="1"/>
  <c r="I452" i="9"/>
  <c r="K452" i="9" s="1"/>
  <c r="M452" i="9" s="1"/>
  <c r="O452" i="9" s="1"/>
  <c r="Q452" i="9" s="1"/>
  <c r="I429" i="9"/>
  <c r="K429" i="9" s="1"/>
  <c r="M429" i="9" s="1"/>
  <c r="O429" i="9" s="1"/>
  <c r="Q429" i="9" s="1"/>
  <c r="I424" i="9"/>
  <c r="I421" i="9" s="1"/>
  <c r="I420" i="9" s="1"/>
  <c r="I419" i="9"/>
  <c r="K419" i="9" s="1"/>
  <c r="M419" i="9" s="1"/>
  <c r="O419" i="9" s="1"/>
  <c r="Q419" i="9" s="1"/>
  <c r="I417" i="9"/>
  <c r="K417" i="9" s="1"/>
  <c r="M417" i="9" s="1"/>
  <c r="O417" i="9" s="1"/>
  <c r="I405" i="9"/>
  <c r="K405" i="9" s="1"/>
  <c r="M405" i="9" s="1"/>
  <c r="O405" i="9" s="1"/>
  <c r="Q405" i="9" s="1"/>
  <c r="I404" i="9"/>
  <c r="K404" i="9" s="1"/>
  <c r="M404" i="9" s="1"/>
  <c r="O404" i="9" s="1"/>
  <c r="Q404" i="9" s="1"/>
  <c r="I393" i="9"/>
  <c r="K393" i="9" s="1"/>
  <c r="M393" i="9" s="1"/>
  <c r="O393" i="9" s="1"/>
  <c r="Q393" i="9" s="1"/>
  <c r="I392" i="9"/>
  <c r="K392" i="9" s="1"/>
  <c r="M392" i="9" s="1"/>
  <c r="O392" i="9" s="1"/>
  <c r="Q392" i="9" s="1"/>
  <c r="I381" i="9"/>
  <c r="K381" i="9" s="1"/>
  <c r="M381" i="9" s="1"/>
  <c r="O381" i="9" s="1"/>
  <c r="Q381" i="9" s="1"/>
  <c r="I380" i="9"/>
  <c r="K380" i="9" s="1"/>
  <c r="M380" i="9" s="1"/>
  <c r="O380" i="9" s="1"/>
  <c r="Q380" i="9" s="1"/>
  <c r="I372" i="9"/>
  <c r="K372" i="9" s="1"/>
  <c r="K371" i="9" s="1"/>
  <c r="I370" i="9"/>
  <c r="K370" i="9" s="1"/>
  <c r="M370" i="9" s="1"/>
  <c r="O370" i="9" s="1"/>
  <c r="Q370" i="9" s="1"/>
  <c r="I369" i="9"/>
  <c r="K369" i="9" s="1"/>
  <c r="M369" i="9" s="1"/>
  <c r="O369" i="9" s="1"/>
  <c r="Q369" i="9" s="1"/>
  <c r="I353" i="9"/>
  <c r="K353" i="9" s="1"/>
  <c r="K352" i="9" s="1"/>
  <c r="I336" i="9"/>
  <c r="K336" i="9" s="1"/>
  <c r="K335" i="9" s="1"/>
  <c r="K332" i="9" s="1"/>
  <c r="K331" i="9" s="1"/>
  <c r="I330" i="9"/>
  <c r="K330" i="9" s="1"/>
  <c r="K329" i="9" s="1"/>
  <c r="I322" i="9"/>
  <c r="K322" i="9" s="1"/>
  <c r="I317" i="9"/>
  <c r="K317" i="9" s="1"/>
  <c r="K316" i="9" s="1"/>
  <c r="I313" i="9"/>
  <c r="K313" i="9" s="1"/>
  <c r="K312" i="9" s="1"/>
  <c r="I308" i="9"/>
  <c r="K308" i="9" s="1"/>
  <c r="K307" i="9" s="1"/>
  <c r="I304" i="9"/>
  <c r="K304" i="9" s="1"/>
  <c r="M304" i="9" s="1"/>
  <c r="O304" i="9" s="1"/>
  <c r="Q304" i="9" s="1"/>
  <c r="I303" i="9"/>
  <c r="K303" i="9" s="1"/>
  <c r="M303" i="9" s="1"/>
  <c r="O303" i="9" s="1"/>
  <c r="Q303" i="9" s="1"/>
  <c r="I298" i="9"/>
  <c r="K298" i="9" s="1"/>
  <c r="K297" i="9" s="1"/>
  <c r="I295" i="9"/>
  <c r="K295" i="9" s="1"/>
  <c r="K294" i="9" s="1"/>
  <c r="I291" i="9"/>
  <c r="K291" i="9" s="1"/>
  <c r="K290" i="9" s="1"/>
  <c r="I289" i="9"/>
  <c r="K289" i="9" s="1"/>
  <c r="K288" i="9" s="1"/>
  <c r="I276" i="9"/>
  <c r="K276" i="9" s="1"/>
  <c r="M276" i="9" s="1"/>
  <c r="I273" i="9"/>
  <c r="K273" i="9" s="1"/>
  <c r="M273" i="9" s="1"/>
  <c r="O273" i="9" s="1"/>
  <c r="Q273" i="9" s="1"/>
  <c r="I272" i="9"/>
  <c r="K272" i="9" s="1"/>
  <c r="I265" i="9"/>
  <c r="K265" i="9" s="1"/>
  <c r="M265" i="9" s="1"/>
  <c r="O265" i="9" s="1"/>
  <c r="Q265" i="9" s="1"/>
  <c r="I248" i="9"/>
  <c r="K248" i="9" s="1"/>
  <c r="M248" i="9" s="1"/>
  <c r="O248" i="9" s="1"/>
  <c r="Q248" i="9" s="1"/>
  <c r="I227" i="9"/>
  <c r="K227" i="9" s="1"/>
  <c r="M227" i="9" s="1"/>
  <c r="O227" i="9" s="1"/>
  <c r="Q227" i="9" s="1"/>
  <c r="I218" i="9"/>
  <c r="K218" i="9" s="1"/>
  <c r="K217" i="9" s="1"/>
  <c r="I211" i="9"/>
  <c r="K211" i="9" s="1"/>
  <c r="K210" i="9" s="1"/>
  <c r="I204" i="9"/>
  <c r="K204" i="9" s="1"/>
  <c r="K203" i="9" s="1"/>
  <c r="I191" i="9"/>
  <c r="K191" i="9" s="1"/>
  <c r="K190" i="9" s="1"/>
  <c r="I185" i="9"/>
  <c r="K185" i="9" s="1"/>
  <c r="K184" i="9" s="1"/>
  <c r="I182" i="9"/>
  <c r="K182" i="9" s="1"/>
  <c r="M182" i="9" s="1"/>
  <c r="O182" i="9" s="1"/>
  <c r="Q182" i="9" s="1"/>
  <c r="I181" i="9"/>
  <c r="K181" i="9" s="1"/>
  <c r="M181" i="9" s="1"/>
  <c r="O181" i="9" s="1"/>
  <c r="Q181" i="9" s="1"/>
  <c r="I178" i="9"/>
  <c r="K178" i="9" s="1"/>
  <c r="M178" i="9" s="1"/>
  <c r="O178" i="9" s="1"/>
  <c r="Q178" i="9" s="1"/>
  <c r="I168" i="9"/>
  <c r="K168" i="9" s="1"/>
  <c r="K167" i="9" s="1"/>
  <c r="I165" i="9"/>
  <c r="K165" i="9" s="1"/>
  <c r="M165" i="9" s="1"/>
  <c r="O165" i="9" s="1"/>
  <c r="Q165" i="9" s="1"/>
  <c r="I164" i="9"/>
  <c r="K164" i="9" s="1"/>
  <c r="M164" i="9" s="1"/>
  <c r="O164" i="9" s="1"/>
  <c r="Q164" i="9" s="1"/>
  <c r="I151" i="9"/>
  <c r="K151" i="9" s="1"/>
  <c r="K150" i="9" s="1"/>
  <c r="I140" i="9"/>
  <c r="K140" i="9" s="1"/>
  <c r="K139" i="9" s="1"/>
  <c r="I136" i="9"/>
  <c r="I135" i="9" s="1"/>
  <c r="I134" i="9" s="1"/>
  <c r="I133" i="9" s="1"/>
  <c r="I132" i="9"/>
  <c r="I131" i="9" s="1"/>
  <c r="I130" i="9"/>
  <c r="K130" i="9" s="1"/>
  <c r="K129" i="9" s="1"/>
  <c r="I128" i="9"/>
  <c r="K128" i="9" s="1"/>
  <c r="K127" i="9" s="1"/>
  <c r="I126" i="9"/>
  <c r="K126" i="9" s="1"/>
  <c r="K125" i="9" s="1"/>
  <c r="I124" i="9"/>
  <c r="K124" i="9" s="1"/>
  <c r="K123" i="9" s="1"/>
  <c r="I121" i="9"/>
  <c r="K121" i="9" s="1"/>
  <c r="K120" i="9" s="1"/>
  <c r="I119" i="9"/>
  <c r="K119" i="9" s="1"/>
  <c r="K118" i="9" s="1"/>
  <c r="I112" i="9"/>
  <c r="K112" i="9" s="1"/>
  <c r="M112" i="9" s="1"/>
  <c r="O112" i="9" s="1"/>
  <c r="Q112" i="9" s="1"/>
  <c r="I111" i="9"/>
  <c r="I72" i="9"/>
  <c r="K72" i="9" s="1"/>
  <c r="K71" i="9" s="1"/>
  <c r="I64" i="9"/>
  <c r="K64" i="9" s="1"/>
  <c r="M64" i="9" s="1"/>
  <c r="O64" i="9" s="1"/>
  <c r="Q64" i="9" s="1"/>
  <c r="I59" i="9"/>
  <c r="I58" i="9" s="1"/>
  <c r="I57" i="9"/>
  <c r="K57" i="9" s="1"/>
  <c r="K56" i="9" s="1"/>
  <c r="I55" i="9"/>
  <c r="K55" i="9" s="1"/>
  <c r="K54" i="9" s="1"/>
  <c r="I48" i="9"/>
  <c r="K48" i="9" s="1"/>
  <c r="M48" i="9" s="1"/>
  <c r="O48" i="9" s="1"/>
  <c r="I51" i="9"/>
  <c r="K51" i="9" s="1"/>
  <c r="I42" i="9"/>
  <c r="K42" i="9" s="1"/>
  <c r="M42" i="9" s="1"/>
  <c r="O42" i="9" s="1"/>
  <c r="Q42" i="9" s="1"/>
  <c r="I41" i="9"/>
  <c r="K41" i="9" s="1"/>
  <c r="M41" i="9" s="1"/>
  <c r="O41" i="9" s="1"/>
  <c r="Q41" i="9" s="1"/>
  <c r="I40" i="9"/>
  <c r="K40" i="9" s="1"/>
  <c r="M40" i="9" s="1"/>
  <c r="O40" i="9" s="1"/>
  <c r="Q40" i="9" s="1"/>
  <c r="I36" i="9"/>
  <c r="K36" i="9" s="1"/>
  <c r="K35" i="9" s="1"/>
  <c r="I34" i="9"/>
  <c r="K34" i="9" s="1"/>
  <c r="K33" i="9" s="1"/>
  <c r="I32" i="9"/>
  <c r="K32" i="9" s="1"/>
  <c r="K31" i="9" s="1"/>
  <c r="I29" i="9"/>
  <c r="K29" i="9" s="1"/>
  <c r="M29" i="9" s="1"/>
  <c r="O29" i="9" s="1"/>
  <c r="Q29" i="9" s="1"/>
  <c r="I28" i="9"/>
  <c r="K28" i="9" s="1"/>
  <c r="K27" i="9" s="1"/>
  <c r="I26" i="9"/>
  <c r="K26" i="9" s="1"/>
  <c r="M26" i="9" s="1"/>
  <c r="O26" i="9" s="1"/>
  <c r="Q26" i="9" s="1"/>
  <c r="I25" i="9"/>
  <c r="K25" i="9" s="1"/>
  <c r="M25" i="9" s="1"/>
  <c r="O25" i="9" s="1"/>
  <c r="Q25" i="9" s="1"/>
  <c r="I22" i="9"/>
  <c r="K22" i="9" s="1"/>
  <c r="M22" i="9" s="1"/>
  <c r="O22" i="9" s="1"/>
  <c r="Q22" i="9" s="1"/>
  <c r="I501" i="9"/>
  <c r="I500" i="9" s="1"/>
  <c r="I499" i="9" s="1"/>
  <c r="I498" i="9" s="1"/>
  <c r="I491" i="9"/>
  <c r="I489" i="9"/>
  <c r="I474" i="9"/>
  <c r="I371" i="9"/>
  <c r="I352" i="9"/>
  <c r="I329" i="9"/>
  <c r="I328" i="9" s="1"/>
  <c r="I327" i="9" s="1"/>
  <c r="I316" i="9"/>
  <c r="I315" i="9" s="1"/>
  <c r="I314" i="9" s="1"/>
  <c r="I312" i="9"/>
  <c r="I311" i="9" s="1"/>
  <c r="I310" i="9" s="1"/>
  <c r="I307" i="9"/>
  <c r="I306" i="9" s="1"/>
  <c r="I305" i="9" s="1"/>
  <c r="I297" i="9"/>
  <c r="I296" i="9" s="1"/>
  <c r="I294" i="9"/>
  <c r="I293" i="9" s="1"/>
  <c r="I290" i="9"/>
  <c r="I288" i="9"/>
  <c r="I275" i="9"/>
  <c r="I274" i="9" s="1"/>
  <c r="I271" i="9"/>
  <c r="I270" i="9" s="1"/>
  <c r="I217" i="9"/>
  <c r="I210" i="9"/>
  <c r="I207" i="9" s="1"/>
  <c r="I203" i="9"/>
  <c r="I202" i="9" s="1"/>
  <c r="I190" i="9"/>
  <c r="I189" i="9" s="1"/>
  <c r="I188" i="9" s="1"/>
  <c r="I186" i="9"/>
  <c r="I184" i="9"/>
  <c r="I167" i="9"/>
  <c r="I150" i="9"/>
  <c r="I129" i="9"/>
  <c r="I120" i="9"/>
  <c r="I77" i="9"/>
  <c r="I76" i="9" s="1"/>
  <c r="I75" i="9" s="1"/>
  <c r="I56" i="9"/>
  <c r="I35" i="9"/>
  <c r="I27" i="9"/>
  <c r="I53" i="9"/>
  <c r="I52" i="9" s="1"/>
  <c r="O416" i="9" l="1"/>
  <c r="Q417" i="9"/>
  <c r="Q416" i="9" s="1"/>
  <c r="Q414" i="9" s="1"/>
  <c r="O520" i="9"/>
  <c r="Q521" i="9"/>
  <c r="Q520" i="9" s="1"/>
  <c r="E98" i="11"/>
  <c r="O186" i="9"/>
  <c r="Q187" i="9"/>
  <c r="Q186" i="9" s="1"/>
  <c r="Q228" i="9"/>
  <c r="O46" i="9"/>
  <c r="Q48" i="9"/>
  <c r="Q46" i="9" s="1"/>
  <c r="O231" i="9"/>
  <c r="E125" i="11" s="1"/>
  <c r="Q232" i="9"/>
  <c r="Q231" i="9" s="1"/>
  <c r="O249" i="9"/>
  <c r="E138" i="11" s="1"/>
  <c r="Q250" i="9"/>
  <c r="Q249" i="9" s="1"/>
  <c r="O494" i="9"/>
  <c r="Q495" i="9"/>
  <c r="Q494" i="9" s="1"/>
  <c r="Q493" i="9" s="1"/>
  <c r="O487" i="9"/>
  <c r="E127" i="11" s="1"/>
  <c r="Q488" i="9"/>
  <c r="Q487" i="9" s="1"/>
  <c r="O466" i="9"/>
  <c r="E104" i="11" s="1"/>
  <c r="Q467" i="9"/>
  <c r="Q466" i="9" s="1"/>
  <c r="O472" i="9"/>
  <c r="E102" i="11" s="1"/>
  <c r="Q473" i="9"/>
  <c r="Q472" i="9" s="1"/>
  <c r="O468" i="9"/>
  <c r="E100" i="11" s="1"/>
  <c r="Q469" i="9"/>
  <c r="Q468" i="9" s="1"/>
  <c r="O462" i="9"/>
  <c r="E96" i="11" s="1"/>
  <c r="Q463" i="9"/>
  <c r="Q462" i="9" s="1"/>
  <c r="O470" i="9"/>
  <c r="E101" i="11" s="1"/>
  <c r="Q471" i="9"/>
  <c r="Q470" i="9" s="1"/>
  <c r="O438" i="9"/>
  <c r="E77" i="11" s="1"/>
  <c r="Q439" i="9"/>
  <c r="Q438" i="9" s="1"/>
  <c r="O485" i="9"/>
  <c r="E126" i="11" s="1"/>
  <c r="Q486" i="9"/>
  <c r="Q485" i="9" s="1"/>
  <c r="O481" i="9"/>
  <c r="Q482" i="9"/>
  <c r="Q481" i="9" s="1"/>
  <c r="Q480" i="9" s="1"/>
  <c r="O446" i="9"/>
  <c r="Q447" i="9"/>
  <c r="Q446" i="9" s="1"/>
  <c r="O464" i="9"/>
  <c r="E97" i="11" s="1"/>
  <c r="Q465" i="9"/>
  <c r="Q464" i="9" s="1"/>
  <c r="O460" i="9"/>
  <c r="E95" i="11" s="1"/>
  <c r="E93" i="11" s="1"/>
  <c r="Q461" i="9"/>
  <c r="Q460" i="9" s="1"/>
  <c r="Q501" i="9"/>
  <c r="Q500" i="9" s="1"/>
  <c r="Q499" i="9" s="1"/>
  <c r="Q498" i="9" s="1"/>
  <c r="I31" i="9"/>
  <c r="I54" i="9"/>
  <c r="I71" i="9"/>
  <c r="I110" i="9"/>
  <c r="I109" i="9" s="1"/>
  <c r="I125" i="9"/>
  <c r="O199" i="9"/>
  <c r="M275" i="9"/>
  <c r="O276" i="9"/>
  <c r="M98" i="9"/>
  <c r="M91" i="9" s="1"/>
  <c r="O99" i="9"/>
  <c r="M337" i="9"/>
  <c r="O338" i="9"/>
  <c r="M511" i="9"/>
  <c r="M510" i="9" s="1"/>
  <c r="M509" i="9" s="1"/>
  <c r="O512" i="9"/>
  <c r="M518" i="9"/>
  <c r="O519" i="9"/>
  <c r="M524" i="9"/>
  <c r="O525" i="9"/>
  <c r="M528" i="9"/>
  <c r="O529" i="9"/>
  <c r="M548" i="9"/>
  <c r="O549" i="9"/>
  <c r="M195" i="9"/>
  <c r="O196" i="9"/>
  <c r="M219" i="9"/>
  <c r="O220" i="9"/>
  <c r="M279" i="9"/>
  <c r="O280" i="9"/>
  <c r="M386" i="9"/>
  <c r="O387" i="9"/>
  <c r="M107" i="9"/>
  <c r="O108" i="9"/>
  <c r="M157" i="9"/>
  <c r="O158" i="9"/>
  <c r="M409" i="9"/>
  <c r="O410" i="9"/>
  <c r="O501" i="9"/>
  <c r="O500" i="9" s="1"/>
  <c r="O499" i="9" s="1"/>
  <c r="O498" i="9" s="1"/>
  <c r="E39" i="11" s="1"/>
  <c r="M344" i="9"/>
  <c r="O345" i="9"/>
  <c r="M350" i="9"/>
  <c r="O351" i="9"/>
  <c r="M515" i="9"/>
  <c r="M514" i="9" s="1"/>
  <c r="O516" i="9"/>
  <c r="M526" i="9"/>
  <c r="O527" i="9"/>
  <c r="M530" i="9"/>
  <c r="O531" i="9"/>
  <c r="M205" i="9"/>
  <c r="O206" i="9"/>
  <c r="M262" i="9"/>
  <c r="O263" i="9"/>
  <c r="M69" i="9"/>
  <c r="O70" i="9"/>
  <c r="M88" i="9"/>
  <c r="O89" i="9"/>
  <c r="M115" i="9"/>
  <c r="M114" i="9" s="1"/>
  <c r="O116" i="9"/>
  <c r="M144" i="9"/>
  <c r="O145" i="9"/>
  <c r="M171" i="9"/>
  <c r="M170" i="9" s="1"/>
  <c r="M169" i="9" s="1"/>
  <c r="O172" i="9"/>
  <c r="M411" i="9"/>
  <c r="O412" i="9"/>
  <c r="M433" i="9"/>
  <c r="O434" i="9"/>
  <c r="O228" i="9"/>
  <c r="E124" i="11" s="1"/>
  <c r="M101" i="9"/>
  <c r="M100" i="9" s="1"/>
  <c r="O102" i="9"/>
  <c r="M46" i="9"/>
  <c r="M106" i="9"/>
  <c r="L559" i="9"/>
  <c r="M520" i="9"/>
  <c r="M517" i="9" s="1"/>
  <c r="M199" i="9"/>
  <c r="M198" i="9" s="1"/>
  <c r="M231" i="9"/>
  <c r="M249" i="9"/>
  <c r="M523" i="9"/>
  <c r="M156" i="9"/>
  <c r="M501" i="9"/>
  <c r="M500" i="9" s="1"/>
  <c r="M499" i="9" s="1"/>
  <c r="M498" i="9" s="1"/>
  <c r="M228" i="9"/>
  <c r="K271" i="9"/>
  <c r="K270" i="9" s="1"/>
  <c r="H559" i="9"/>
  <c r="K101" i="9"/>
  <c r="K100" i="9" s="1"/>
  <c r="M192" i="9"/>
  <c r="K98" i="9"/>
  <c r="K91" i="9" s="1"/>
  <c r="M416" i="9"/>
  <c r="I46" i="9"/>
  <c r="M34" i="9"/>
  <c r="M57" i="9"/>
  <c r="M72" i="9"/>
  <c r="O72" i="9" s="1"/>
  <c r="Q72" i="9" s="1"/>
  <c r="M119" i="9"/>
  <c r="M121" i="9"/>
  <c r="M126" i="9"/>
  <c r="M168" i="9"/>
  <c r="M204" i="9"/>
  <c r="M218" i="9"/>
  <c r="M289" i="9"/>
  <c r="M298" i="9"/>
  <c r="M308" i="9"/>
  <c r="M317" i="9"/>
  <c r="M353" i="9"/>
  <c r="M372" i="9"/>
  <c r="M490" i="9"/>
  <c r="I33" i="9"/>
  <c r="I30" i="9" s="1"/>
  <c r="I118" i="9"/>
  <c r="I117" i="9" s="1"/>
  <c r="I123" i="9"/>
  <c r="I127" i="9"/>
  <c r="I139" i="9"/>
  <c r="I138" i="9" s="1"/>
  <c r="M28" i="9"/>
  <c r="M32" i="9"/>
  <c r="M36" i="9"/>
  <c r="M51" i="9"/>
  <c r="O51" i="9" s="1"/>
  <c r="M55" i="9"/>
  <c r="M87" i="9"/>
  <c r="M124" i="9"/>
  <c r="M128" i="9"/>
  <c r="M130" i="9"/>
  <c r="M140" i="9"/>
  <c r="M151" i="9"/>
  <c r="M185" i="9"/>
  <c r="M191" i="9"/>
  <c r="M211" i="9"/>
  <c r="M272" i="9"/>
  <c r="M291" i="9"/>
  <c r="M295" i="9"/>
  <c r="M313" i="9"/>
  <c r="M322" i="9"/>
  <c r="M475" i="9"/>
  <c r="M492" i="9"/>
  <c r="M330" i="9"/>
  <c r="M336" i="9"/>
  <c r="K501" i="9"/>
  <c r="K500" i="9" s="1"/>
  <c r="K499" i="9" s="1"/>
  <c r="K498" i="9" s="1"/>
  <c r="K296" i="9"/>
  <c r="K484" i="9"/>
  <c r="K483" i="9" s="1"/>
  <c r="K46" i="9"/>
  <c r="K138" i="9"/>
  <c r="K202" i="9"/>
  <c r="K275" i="9"/>
  <c r="K274" i="9" s="1"/>
  <c r="K311" i="9"/>
  <c r="K310" i="9" s="1"/>
  <c r="K189" i="9"/>
  <c r="K188" i="9" s="1"/>
  <c r="K207" i="9"/>
  <c r="K293" i="9"/>
  <c r="K306" i="9"/>
  <c r="K305" i="9" s="1"/>
  <c r="K416" i="9"/>
  <c r="K414" i="9" s="1"/>
  <c r="K53" i="9"/>
  <c r="K132" i="9"/>
  <c r="K424" i="9"/>
  <c r="K50" i="9"/>
  <c r="I50" i="9"/>
  <c r="I49" i="9" s="1"/>
  <c r="I484" i="9"/>
  <c r="I483" i="9" s="1"/>
  <c r="I533" i="9"/>
  <c r="I532" i="9" s="1"/>
  <c r="I513" i="9" s="1"/>
  <c r="I508" i="9" s="1"/>
  <c r="K59" i="9"/>
  <c r="K136" i="9"/>
  <c r="K477" i="9"/>
  <c r="K479" i="9"/>
  <c r="K534" i="9"/>
  <c r="K328" i="9"/>
  <c r="K327" i="9" s="1"/>
  <c r="I335" i="9"/>
  <c r="I332" i="9" s="1"/>
  <c r="I331" i="9" s="1"/>
  <c r="K315" i="9"/>
  <c r="K314" i="9" s="1"/>
  <c r="I287" i="9"/>
  <c r="I286" i="9" s="1"/>
  <c r="K30" i="9"/>
  <c r="K117" i="9"/>
  <c r="K287" i="9"/>
  <c r="K286" i="9" s="1"/>
  <c r="K111" i="9"/>
  <c r="I416" i="9"/>
  <c r="I414" i="9" s="1"/>
  <c r="I453" i="9"/>
  <c r="I292" i="9"/>
  <c r="I197" i="9"/>
  <c r="I90" i="9"/>
  <c r="G46" i="9"/>
  <c r="I437" i="9"/>
  <c r="I441" i="9"/>
  <c r="I445" i="9"/>
  <c r="I443" i="9"/>
  <c r="I73" i="9"/>
  <c r="I342" i="9"/>
  <c r="I155" i="9"/>
  <c r="G244" i="9"/>
  <c r="I244" i="9" s="1"/>
  <c r="K244" i="9" s="1"/>
  <c r="M244" i="9" s="1"/>
  <c r="O244" i="9" s="1"/>
  <c r="Q244" i="9" s="1"/>
  <c r="G451" i="9"/>
  <c r="I451" i="9" s="1"/>
  <c r="G349" i="9"/>
  <c r="I349" i="9" s="1"/>
  <c r="I122" i="9" l="1"/>
  <c r="K292" i="9"/>
  <c r="O101" i="9"/>
  <c r="E103" i="11" s="1"/>
  <c r="Q102" i="9"/>
  <c r="Q101" i="9" s="1"/>
  <c r="Q100" i="9" s="1"/>
  <c r="O409" i="9"/>
  <c r="E56" i="11" s="1"/>
  <c r="Q410" i="9"/>
  <c r="Q409" i="9" s="1"/>
  <c r="O157" i="9"/>
  <c r="Q158" i="9"/>
  <c r="Q157" i="9" s="1"/>
  <c r="Q156" i="9" s="1"/>
  <c r="O107" i="9"/>
  <c r="Q108" i="9"/>
  <c r="Q107" i="9" s="1"/>
  <c r="Q106" i="9" s="1"/>
  <c r="O386" i="9"/>
  <c r="Q387" i="9"/>
  <c r="Q386" i="9" s="1"/>
  <c r="O279" i="9"/>
  <c r="Q280" i="9"/>
  <c r="Q279" i="9" s="1"/>
  <c r="O219" i="9"/>
  <c r="E122" i="11" s="1"/>
  <c r="Q220" i="9"/>
  <c r="Q219" i="9" s="1"/>
  <c r="O195" i="9"/>
  <c r="Q196" i="9"/>
  <c r="Q195" i="9" s="1"/>
  <c r="Q192" i="9" s="1"/>
  <c r="O548" i="9"/>
  <c r="E36" i="11" s="1"/>
  <c r="Q549" i="9"/>
  <c r="Q548" i="9" s="1"/>
  <c r="O528" i="9"/>
  <c r="Q529" i="9"/>
  <c r="Q528" i="9" s="1"/>
  <c r="O524" i="9"/>
  <c r="E111" i="11" s="1"/>
  <c r="Q525" i="9"/>
  <c r="Q524" i="9" s="1"/>
  <c r="O518" i="9"/>
  <c r="Q519" i="9"/>
  <c r="Q518" i="9" s="1"/>
  <c r="Q517" i="9" s="1"/>
  <c r="O511" i="9"/>
  <c r="O510" i="9" s="1"/>
  <c r="O509" i="9" s="1"/>
  <c r="Q512" i="9"/>
  <c r="Q511" i="9" s="1"/>
  <c r="Q510" i="9" s="1"/>
  <c r="Q509" i="9" s="1"/>
  <c r="O337" i="9"/>
  <c r="E156" i="11" s="1"/>
  <c r="Q338" i="9"/>
  <c r="Q337" i="9" s="1"/>
  <c r="O98" i="9"/>
  <c r="Q99" i="9"/>
  <c r="Q98" i="9" s="1"/>
  <c r="Q91" i="9" s="1"/>
  <c r="O275" i="9"/>
  <c r="Q276" i="9"/>
  <c r="Q275" i="9" s="1"/>
  <c r="Q274" i="9" s="1"/>
  <c r="O198" i="9"/>
  <c r="E84" i="11"/>
  <c r="O480" i="9"/>
  <c r="E143" i="11"/>
  <c r="O493" i="9"/>
  <c r="E68" i="11"/>
  <c r="E66" i="11" s="1"/>
  <c r="O414" i="9"/>
  <c r="O50" i="9"/>
  <c r="E35" i="11"/>
  <c r="Q51" i="9"/>
  <c r="Q50" i="9" s="1"/>
  <c r="O433" i="9"/>
  <c r="E73" i="11" s="1"/>
  <c r="E72" i="11" s="1"/>
  <c r="Q434" i="9"/>
  <c r="Q433" i="9" s="1"/>
  <c r="O411" i="9"/>
  <c r="E57" i="11" s="1"/>
  <c r="Q412" i="9"/>
  <c r="Q411" i="9" s="1"/>
  <c r="O171" i="9"/>
  <c r="O170" i="9" s="1"/>
  <c r="O169" i="9" s="1"/>
  <c r="Q172" i="9"/>
  <c r="Q171" i="9" s="1"/>
  <c r="Q170" i="9" s="1"/>
  <c r="Q169" i="9" s="1"/>
  <c r="O144" i="9"/>
  <c r="E195" i="11" s="1"/>
  <c r="Q145" i="9"/>
  <c r="Q144" i="9" s="1"/>
  <c r="O115" i="9"/>
  <c r="Q116" i="9"/>
  <c r="Q115" i="9" s="1"/>
  <c r="Q114" i="9" s="1"/>
  <c r="O88" i="9"/>
  <c r="Q89" i="9"/>
  <c r="Q88" i="9" s="1"/>
  <c r="O69" i="9"/>
  <c r="E49" i="11" s="1"/>
  <c r="Q70" i="9"/>
  <c r="Q69" i="9" s="1"/>
  <c r="O262" i="9"/>
  <c r="E142" i="11" s="1"/>
  <c r="Q263" i="9"/>
  <c r="Q262" i="9" s="1"/>
  <c r="O205" i="9"/>
  <c r="E90" i="11" s="1"/>
  <c r="Q206" i="9"/>
  <c r="Q205" i="9" s="1"/>
  <c r="O530" i="9"/>
  <c r="E114" i="11" s="1"/>
  <c r="Q531" i="9"/>
  <c r="Q530" i="9" s="1"/>
  <c r="O526" i="9"/>
  <c r="E112" i="11" s="1"/>
  <c r="Q527" i="9"/>
  <c r="Q526" i="9" s="1"/>
  <c r="O515" i="9"/>
  <c r="O514" i="9" s="1"/>
  <c r="Q516" i="9"/>
  <c r="Q515" i="9" s="1"/>
  <c r="Q514" i="9" s="1"/>
  <c r="O350" i="9"/>
  <c r="E190" i="11" s="1"/>
  <c r="Q351" i="9"/>
  <c r="Q350" i="9" s="1"/>
  <c r="O344" i="9"/>
  <c r="E186" i="11" s="1"/>
  <c r="Q345" i="9"/>
  <c r="Q344" i="9" s="1"/>
  <c r="M408" i="9"/>
  <c r="M329" i="9"/>
  <c r="O330" i="9"/>
  <c r="M474" i="9"/>
  <c r="O475" i="9"/>
  <c r="M312" i="9"/>
  <c r="O313" i="9"/>
  <c r="Q313" i="9" s="1"/>
  <c r="M290" i="9"/>
  <c r="O291" i="9"/>
  <c r="M210" i="9"/>
  <c r="O211" i="9"/>
  <c r="M184" i="9"/>
  <c r="O185" i="9"/>
  <c r="M139" i="9"/>
  <c r="O140" i="9"/>
  <c r="M127" i="9"/>
  <c r="O128" i="9"/>
  <c r="M86" i="9"/>
  <c r="M85" i="9" s="1"/>
  <c r="O87" i="9"/>
  <c r="M31" i="9"/>
  <c r="O32" i="9"/>
  <c r="Q32" i="9" s="1"/>
  <c r="Q31" i="9" s="1"/>
  <c r="M371" i="9"/>
  <c r="O372" i="9"/>
  <c r="M316" i="9"/>
  <c r="O317" i="9"/>
  <c r="M297" i="9"/>
  <c r="O298" i="9"/>
  <c r="M217" i="9"/>
  <c r="O218" i="9"/>
  <c r="M167" i="9"/>
  <c r="O168" i="9"/>
  <c r="M120" i="9"/>
  <c r="O121" i="9"/>
  <c r="M33" i="9"/>
  <c r="O34" i="9"/>
  <c r="O100" i="9"/>
  <c r="M274" i="9"/>
  <c r="M335" i="9"/>
  <c r="O336" i="9"/>
  <c r="M491" i="9"/>
  <c r="O492" i="9"/>
  <c r="O322" i="9"/>
  <c r="M294" i="9"/>
  <c r="O295" i="9"/>
  <c r="M271" i="9"/>
  <c r="O272" i="9"/>
  <c r="M190" i="9"/>
  <c r="O191" i="9"/>
  <c r="M150" i="9"/>
  <c r="O151" i="9"/>
  <c r="M129" i="9"/>
  <c r="O130" i="9"/>
  <c r="M123" i="9"/>
  <c r="O124" i="9"/>
  <c r="M54" i="9"/>
  <c r="O55" i="9"/>
  <c r="M35" i="9"/>
  <c r="O36" i="9"/>
  <c r="M27" i="9"/>
  <c r="O28" i="9"/>
  <c r="M489" i="9"/>
  <c r="O490" i="9"/>
  <c r="M352" i="9"/>
  <c r="O353" i="9"/>
  <c r="M307" i="9"/>
  <c r="O308" i="9"/>
  <c r="Q308" i="9" s="1"/>
  <c r="Q307" i="9" s="1"/>
  <c r="Q306" i="9" s="1"/>
  <c r="Q305" i="9" s="1"/>
  <c r="M288" i="9"/>
  <c r="O289" i="9"/>
  <c r="M203" i="9"/>
  <c r="O204" i="9"/>
  <c r="M125" i="9"/>
  <c r="O126" i="9"/>
  <c r="M118" i="9"/>
  <c r="O119" i="9"/>
  <c r="O408" i="9"/>
  <c r="O523" i="9"/>
  <c r="M56" i="9"/>
  <c r="O57" i="9"/>
  <c r="M315" i="9"/>
  <c r="M321" i="9"/>
  <c r="M484" i="9"/>
  <c r="M483" i="9" s="1"/>
  <c r="M328" i="9"/>
  <c r="M327" i="9" s="1"/>
  <c r="M311" i="9"/>
  <c r="M310" i="9" s="1"/>
  <c r="M207" i="9"/>
  <c r="M183" i="9"/>
  <c r="M138" i="9"/>
  <c r="M79" i="9"/>
  <c r="M50" i="9"/>
  <c r="M306" i="9"/>
  <c r="M305" i="9" s="1"/>
  <c r="M202" i="9"/>
  <c r="M117" i="9"/>
  <c r="M293" i="9"/>
  <c r="M270" i="9"/>
  <c r="M189" i="9"/>
  <c r="M188" i="9" s="1"/>
  <c r="E55" i="11"/>
  <c r="M296" i="9"/>
  <c r="M414" i="9"/>
  <c r="K110" i="9"/>
  <c r="M111" i="9"/>
  <c r="K478" i="9"/>
  <c r="M479" i="9"/>
  <c r="K135" i="9"/>
  <c r="M136" i="9"/>
  <c r="K131" i="9"/>
  <c r="M132" i="9"/>
  <c r="M332" i="9"/>
  <c r="M331" i="9" s="1"/>
  <c r="M287" i="9"/>
  <c r="M286" i="9" s="1"/>
  <c r="K533" i="9"/>
  <c r="M534" i="9"/>
  <c r="K476" i="9"/>
  <c r="M477" i="9"/>
  <c r="K58" i="9"/>
  <c r="M59" i="9"/>
  <c r="K421" i="9"/>
  <c r="K420" i="9" s="1"/>
  <c r="M424" i="9"/>
  <c r="K52" i="9"/>
  <c r="M53" i="9"/>
  <c r="M30" i="9"/>
  <c r="K122" i="9"/>
  <c r="K113" i="9" s="1"/>
  <c r="I442" i="9"/>
  <c r="K443" i="9"/>
  <c r="K532" i="9"/>
  <c r="K513" i="9" s="1"/>
  <c r="K508" i="9" s="1"/>
  <c r="K197" i="9"/>
  <c r="I348" i="9"/>
  <c r="K349" i="9"/>
  <c r="I341" i="9"/>
  <c r="I340" i="9" s="1"/>
  <c r="K342" i="9"/>
  <c r="I440" i="9"/>
  <c r="K441" i="9"/>
  <c r="I450" i="9"/>
  <c r="I449" i="9" s="1"/>
  <c r="I448" i="9" s="1"/>
  <c r="K451" i="9"/>
  <c r="I154" i="9"/>
  <c r="I153" i="9" s="1"/>
  <c r="I152" i="9" s="1"/>
  <c r="K155" i="9"/>
  <c r="I68" i="9"/>
  <c r="I67" i="9" s="1"/>
  <c r="K73" i="9"/>
  <c r="M73" i="9" s="1"/>
  <c r="I444" i="9"/>
  <c r="K445" i="9"/>
  <c r="I436" i="9"/>
  <c r="K437" i="9"/>
  <c r="K134" i="9"/>
  <c r="K133" i="9" s="1"/>
  <c r="K49" i="9"/>
  <c r="K453" i="9"/>
  <c r="K109" i="9"/>
  <c r="K90" i="9" s="1"/>
  <c r="I435" i="9"/>
  <c r="I113" i="9"/>
  <c r="G224" i="9"/>
  <c r="I224" i="9" s="1"/>
  <c r="K224" i="9" s="1"/>
  <c r="M224" i="9" s="1"/>
  <c r="O224" i="9" s="1"/>
  <c r="Q224" i="9" s="1"/>
  <c r="G367" i="9"/>
  <c r="I367" i="9" s="1"/>
  <c r="G365" i="9"/>
  <c r="I365" i="9" s="1"/>
  <c r="K365" i="9" s="1"/>
  <c r="M365" i="9" s="1"/>
  <c r="O365" i="9" s="1"/>
  <c r="Q365" i="9" s="1"/>
  <c r="G364" i="9"/>
  <c r="I364" i="9" s="1"/>
  <c r="K364" i="9" s="1"/>
  <c r="M364" i="9" s="1"/>
  <c r="O364" i="9" s="1"/>
  <c r="Q364" i="9" s="1"/>
  <c r="G362" i="9"/>
  <c r="I362" i="9" s="1"/>
  <c r="K362" i="9" s="1"/>
  <c r="M362" i="9" s="1"/>
  <c r="O362" i="9" s="1"/>
  <c r="Q362" i="9" s="1"/>
  <c r="Q361" i="9" s="1"/>
  <c r="O491" i="9" l="1"/>
  <c r="E129" i="11" s="1"/>
  <c r="Q492" i="9"/>
  <c r="Q491" i="9" s="1"/>
  <c r="O335" i="9"/>
  <c r="E155" i="11" s="1"/>
  <c r="Q336" i="9"/>
  <c r="Q335" i="9" s="1"/>
  <c r="Q332" i="9" s="1"/>
  <c r="Q331" i="9" s="1"/>
  <c r="O33" i="9"/>
  <c r="E28" i="11" s="1"/>
  <c r="Q34" i="9"/>
  <c r="Q33" i="9" s="1"/>
  <c r="O120" i="9"/>
  <c r="E154" i="11" s="1"/>
  <c r="E153" i="11" s="1"/>
  <c r="Q121" i="9"/>
  <c r="Q120" i="9" s="1"/>
  <c r="O167" i="9"/>
  <c r="E18" i="11" s="1"/>
  <c r="Q168" i="9"/>
  <c r="Q167" i="9" s="1"/>
  <c r="O217" i="9"/>
  <c r="E121" i="11" s="1"/>
  <c r="Q218" i="9"/>
  <c r="Q217" i="9" s="1"/>
  <c r="O297" i="9"/>
  <c r="O296" i="9" s="1"/>
  <c r="Q298" i="9"/>
  <c r="Q297" i="9" s="1"/>
  <c r="Q296" i="9" s="1"/>
  <c r="O316" i="9"/>
  <c r="Q317" i="9"/>
  <c r="Q316" i="9" s="1"/>
  <c r="Q315" i="9" s="1"/>
  <c r="O371" i="9"/>
  <c r="E202" i="11" s="1"/>
  <c r="Q372" i="9"/>
  <c r="Q371" i="9" s="1"/>
  <c r="O86" i="9"/>
  <c r="Q87" i="9"/>
  <c r="Q86" i="9" s="1"/>
  <c r="Q85" i="9" s="1"/>
  <c r="Q79" i="9" s="1"/>
  <c r="O127" i="9"/>
  <c r="E163" i="11" s="1"/>
  <c r="Q128" i="9"/>
  <c r="Q127" i="9" s="1"/>
  <c r="O139" i="9"/>
  <c r="Q140" i="9"/>
  <c r="Q139" i="9" s="1"/>
  <c r="Q138" i="9" s="1"/>
  <c r="O184" i="9"/>
  <c r="Q185" i="9"/>
  <c r="Q184" i="9" s="1"/>
  <c r="Q183" i="9" s="1"/>
  <c r="O210" i="9"/>
  <c r="Q211" i="9"/>
  <c r="Q210" i="9" s="1"/>
  <c r="Q207" i="9" s="1"/>
  <c r="O290" i="9"/>
  <c r="E178" i="11" s="1"/>
  <c r="Q291" i="9"/>
  <c r="Q290" i="9" s="1"/>
  <c r="O312" i="9"/>
  <c r="E216" i="11" s="1"/>
  <c r="Q312" i="9"/>
  <c r="Q311" i="9" s="1"/>
  <c r="Q310" i="9" s="1"/>
  <c r="O474" i="9"/>
  <c r="Q475" i="9"/>
  <c r="Q474" i="9" s="1"/>
  <c r="O329" i="9"/>
  <c r="O328" i="9" s="1"/>
  <c r="O327" i="9" s="1"/>
  <c r="Q330" i="9"/>
  <c r="Q329" i="9" s="1"/>
  <c r="Q328" i="9" s="1"/>
  <c r="Q327" i="9" s="1"/>
  <c r="O91" i="9"/>
  <c r="E88" i="11"/>
  <c r="E83" i="11" s="1"/>
  <c r="O517" i="9"/>
  <c r="E92" i="11"/>
  <c r="O192" i="9"/>
  <c r="E81" i="11"/>
  <c r="O106" i="9"/>
  <c r="E109" i="11"/>
  <c r="O156" i="9"/>
  <c r="E209" i="11"/>
  <c r="E208" i="11" s="1"/>
  <c r="O274" i="9"/>
  <c r="O56" i="9"/>
  <c r="E43" i="11" s="1"/>
  <c r="Q57" i="9"/>
  <c r="Q56" i="9" s="1"/>
  <c r="O118" i="9"/>
  <c r="Q119" i="9"/>
  <c r="Q118" i="9" s="1"/>
  <c r="Q117" i="9" s="1"/>
  <c r="O125" i="9"/>
  <c r="E162" i="11" s="1"/>
  <c r="Q126" i="9"/>
  <c r="Q125" i="9" s="1"/>
  <c r="O203" i="9"/>
  <c r="O202" i="9" s="1"/>
  <c r="Q204" i="9"/>
  <c r="Q203" i="9" s="1"/>
  <c r="Q202" i="9" s="1"/>
  <c r="Q197" i="9" s="1"/>
  <c r="O288" i="9"/>
  <c r="O287" i="9" s="1"/>
  <c r="O286" i="9" s="1"/>
  <c r="Q289" i="9"/>
  <c r="Q288" i="9" s="1"/>
  <c r="Q287" i="9" s="1"/>
  <c r="Q286" i="9" s="1"/>
  <c r="O352" i="9"/>
  <c r="E191" i="11" s="1"/>
  <c r="Q353" i="9"/>
  <c r="Q352" i="9" s="1"/>
  <c r="O489" i="9"/>
  <c r="Q490" i="9"/>
  <c r="Q489" i="9" s="1"/>
  <c r="Q484" i="9" s="1"/>
  <c r="Q483" i="9" s="1"/>
  <c r="O27" i="9"/>
  <c r="E21" i="11" s="1"/>
  <c r="Q28" i="9"/>
  <c r="Q27" i="9" s="1"/>
  <c r="O35" i="9"/>
  <c r="Q36" i="9"/>
  <c r="Q35" i="9" s="1"/>
  <c r="O54" i="9"/>
  <c r="E41" i="11" s="1"/>
  <c r="Q55" i="9"/>
  <c r="Q54" i="9" s="1"/>
  <c r="O123" i="9"/>
  <c r="E161" i="11" s="1"/>
  <c r="Q124" i="9"/>
  <c r="Q123" i="9" s="1"/>
  <c r="O129" i="9"/>
  <c r="E164" i="11" s="1"/>
  <c r="Q130" i="9"/>
  <c r="Q129" i="9" s="1"/>
  <c r="O150" i="9"/>
  <c r="E197" i="11" s="1"/>
  <c r="Q151" i="9"/>
  <c r="Q150" i="9" s="1"/>
  <c r="O190" i="9"/>
  <c r="O189" i="9" s="1"/>
  <c r="O188" i="9" s="1"/>
  <c r="Q191" i="9"/>
  <c r="Q190" i="9" s="1"/>
  <c r="Q189" i="9" s="1"/>
  <c r="Q188" i="9" s="1"/>
  <c r="O271" i="9"/>
  <c r="Q272" i="9"/>
  <c r="Q271" i="9" s="1"/>
  <c r="Q270" i="9" s="1"/>
  <c r="O294" i="9"/>
  <c r="Q295" i="9"/>
  <c r="Q294" i="9" s="1"/>
  <c r="Q293" i="9" s="1"/>
  <c r="Q292" i="9" s="1"/>
  <c r="Q322" i="9"/>
  <c r="Q321" i="9" s="1"/>
  <c r="O321" i="9"/>
  <c r="E224" i="11" s="1"/>
  <c r="O114" i="9"/>
  <c r="E139" i="11"/>
  <c r="Q523" i="9"/>
  <c r="Q408" i="9"/>
  <c r="O307" i="9"/>
  <c r="O332" i="9"/>
  <c r="O331" i="9" s="1"/>
  <c r="M52" i="9"/>
  <c r="O53" i="9"/>
  <c r="M421" i="9"/>
  <c r="O424" i="9"/>
  <c r="M476" i="9"/>
  <c r="O477" i="9"/>
  <c r="M533" i="9"/>
  <c r="O534" i="9"/>
  <c r="O31" i="9"/>
  <c r="E27" i="11" s="1"/>
  <c r="O30" i="9"/>
  <c r="O361" i="9"/>
  <c r="E200" i="11" s="1"/>
  <c r="M197" i="9"/>
  <c r="M71" i="9"/>
  <c r="O73" i="9"/>
  <c r="M131" i="9"/>
  <c r="M122" i="9" s="1"/>
  <c r="M113" i="9" s="1"/>
  <c r="O132" i="9"/>
  <c r="Q132" i="9" s="1"/>
  <c r="M135" i="9"/>
  <c r="O136" i="9"/>
  <c r="M478" i="9"/>
  <c r="O479" i="9"/>
  <c r="M110" i="9"/>
  <c r="M109" i="9" s="1"/>
  <c r="M90" i="9" s="1"/>
  <c r="O111" i="9"/>
  <c r="M58" i="9"/>
  <c r="O59" i="9"/>
  <c r="M68" i="9"/>
  <c r="M67" i="9" s="1"/>
  <c r="M314" i="9"/>
  <c r="M292" i="9"/>
  <c r="M420" i="9"/>
  <c r="M134" i="9"/>
  <c r="M133" i="9" s="1"/>
  <c r="K436" i="9"/>
  <c r="M437" i="9"/>
  <c r="K444" i="9"/>
  <c r="M445" i="9"/>
  <c r="K154" i="9"/>
  <c r="K153" i="9" s="1"/>
  <c r="K152" i="9" s="1"/>
  <c r="M155" i="9"/>
  <c r="K450" i="9"/>
  <c r="K449" i="9" s="1"/>
  <c r="K448" i="9" s="1"/>
  <c r="M451" i="9"/>
  <c r="K440" i="9"/>
  <c r="M441" i="9"/>
  <c r="K341" i="9"/>
  <c r="K340" i="9" s="1"/>
  <c r="M342" i="9"/>
  <c r="K348" i="9"/>
  <c r="M349" i="9"/>
  <c r="M361" i="9"/>
  <c r="K442" i="9"/>
  <c r="M443" i="9"/>
  <c r="K361" i="9"/>
  <c r="I366" i="9"/>
  <c r="K367" i="9"/>
  <c r="K68" i="9"/>
  <c r="K67" i="9" s="1"/>
  <c r="I361" i="9"/>
  <c r="G285" i="9"/>
  <c r="I285" i="9" s="1"/>
  <c r="G260" i="9"/>
  <c r="I260" i="9" s="1"/>
  <c r="G257" i="9"/>
  <c r="I257" i="9" s="1"/>
  <c r="Q314" i="9" l="1"/>
  <c r="O58" i="9"/>
  <c r="E42" i="11" s="1"/>
  <c r="Q59" i="9"/>
  <c r="Q58" i="9" s="1"/>
  <c r="O110" i="9"/>
  <c r="Q111" i="9"/>
  <c r="Q110" i="9" s="1"/>
  <c r="Q109" i="9" s="1"/>
  <c r="Q90" i="9" s="1"/>
  <c r="O478" i="9"/>
  <c r="E107" i="11" s="1"/>
  <c r="Q479" i="9"/>
  <c r="Q478" i="9" s="1"/>
  <c r="O135" i="9"/>
  <c r="Q136" i="9"/>
  <c r="Q135" i="9" s="1"/>
  <c r="Q134" i="9" s="1"/>
  <c r="Q133" i="9" s="1"/>
  <c r="O131" i="9"/>
  <c r="E165" i="11" s="1"/>
  <c r="Q131" i="9"/>
  <c r="O71" i="9"/>
  <c r="Q73" i="9"/>
  <c r="Q71" i="9" s="1"/>
  <c r="Q68" i="9" s="1"/>
  <c r="Q67" i="9" s="1"/>
  <c r="O533" i="9"/>
  <c r="Q534" i="9"/>
  <c r="Q533" i="9" s="1"/>
  <c r="Q532" i="9" s="1"/>
  <c r="Q513" i="9" s="1"/>
  <c r="Q508" i="9" s="1"/>
  <c r="O476" i="9"/>
  <c r="E106" i="11" s="1"/>
  <c r="Q477" i="9"/>
  <c r="Q476" i="9" s="1"/>
  <c r="Q424" i="9"/>
  <c r="Q421" i="9" s="1"/>
  <c r="Q420" i="9" s="1"/>
  <c r="E62" i="11"/>
  <c r="E59" i="11" s="1"/>
  <c r="O421" i="9"/>
  <c r="O420" i="9" s="1"/>
  <c r="O52" i="9"/>
  <c r="Q53" i="9"/>
  <c r="Q52" i="9" s="1"/>
  <c r="Q49" i="9" s="1"/>
  <c r="O293" i="9"/>
  <c r="O292" i="9" s="1"/>
  <c r="E184" i="11"/>
  <c r="O270" i="9"/>
  <c r="E149" i="11"/>
  <c r="O484" i="9"/>
  <c r="O483" i="9" s="1"/>
  <c r="E128" i="11"/>
  <c r="O117" i="9"/>
  <c r="E152" i="11"/>
  <c r="O453" i="9"/>
  <c r="E105" i="11"/>
  <c r="O311" i="9"/>
  <c r="O310" i="9" s="1"/>
  <c r="O207" i="9"/>
  <c r="E113" i="11"/>
  <c r="E108" i="11" s="1"/>
  <c r="O183" i="9"/>
  <c r="O138" i="9"/>
  <c r="O85" i="9"/>
  <c r="O79" i="9" s="1"/>
  <c r="E80" i="11"/>
  <c r="O315" i="9"/>
  <c r="O314" i="9" s="1"/>
  <c r="E220" i="11"/>
  <c r="O197" i="9"/>
  <c r="O306" i="9"/>
  <c r="O305" i="9" s="1"/>
  <c r="E213" i="11"/>
  <c r="Q122" i="9"/>
  <c r="Q113" i="9" s="1"/>
  <c r="Q453" i="9"/>
  <c r="Q30" i="9"/>
  <c r="O68" i="9"/>
  <c r="O67" i="9" s="1"/>
  <c r="E50" i="11"/>
  <c r="E48" i="11" s="1"/>
  <c r="M49" i="9"/>
  <c r="K435" i="9"/>
  <c r="E89" i="11"/>
  <c r="M348" i="9"/>
  <c r="O349" i="9"/>
  <c r="M341" i="9"/>
  <c r="M340" i="9" s="1"/>
  <c r="O342" i="9"/>
  <c r="M440" i="9"/>
  <c r="O441" i="9"/>
  <c r="M450" i="9"/>
  <c r="M449" i="9" s="1"/>
  <c r="O451" i="9"/>
  <c r="M154" i="9"/>
  <c r="O155" i="9"/>
  <c r="M444" i="9"/>
  <c r="O445" i="9"/>
  <c r="M436" i="9"/>
  <c r="O437" i="9"/>
  <c r="M453" i="9"/>
  <c r="M442" i="9"/>
  <c r="O443" i="9"/>
  <c r="M153" i="9"/>
  <c r="M152" i="9" s="1"/>
  <c r="M532" i="9"/>
  <c r="M513" i="9" s="1"/>
  <c r="M508" i="9" s="1"/>
  <c r="K366" i="9"/>
  <c r="M367" i="9"/>
  <c r="I259" i="9"/>
  <c r="K260" i="9"/>
  <c r="I256" i="9"/>
  <c r="K257" i="9"/>
  <c r="I284" i="9"/>
  <c r="I281" i="9" s="1"/>
  <c r="K285" i="9"/>
  <c r="I255" i="9"/>
  <c r="G45" i="9"/>
  <c r="I45" i="9" s="1"/>
  <c r="K45" i="9" s="1"/>
  <c r="M45" i="9" s="1"/>
  <c r="O45" i="9" s="1"/>
  <c r="Q45" i="9" s="1"/>
  <c r="G44" i="9"/>
  <c r="I44" i="9" s="1"/>
  <c r="G149" i="9"/>
  <c r="I149" i="9" s="1"/>
  <c r="K149" i="9" s="1"/>
  <c r="M149" i="9" s="1"/>
  <c r="O149" i="9" s="1"/>
  <c r="Q149" i="9" s="1"/>
  <c r="G148" i="9"/>
  <c r="I148" i="9" s="1"/>
  <c r="K148" i="9" s="1"/>
  <c r="M148" i="9" s="1"/>
  <c r="O148" i="9" s="1"/>
  <c r="Q148" i="9" s="1"/>
  <c r="G147" i="9"/>
  <c r="I147" i="9" s="1"/>
  <c r="G66" i="9"/>
  <c r="I66" i="9" s="1"/>
  <c r="K66" i="9" s="1"/>
  <c r="M66" i="9" s="1"/>
  <c r="O66" i="9" s="1"/>
  <c r="Q66" i="9" s="1"/>
  <c r="G65" i="9"/>
  <c r="I65" i="9" s="1"/>
  <c r="K65" i="9" s="1"/>
  <c r="M65" i="9" s="1"/>
  <c r="O65" i="9" s="1"/>
  <c r="Q65" i="9" s="1"/>
  <c r="G63" i="9"/>
  <c r="I63" i="9" s="1"/>
  <c r="K63" i="9" s="1"/>
  <c r="G39" i="9"/>
  <c r="O442" i="9" l="1"/>
  <c r="E78" i="11" s="1"/>
  <c r="Q443" i="9"/>
  <c r="Q442" i="9" s="1"/>
  <c r="O49" i="9"/>
  <c r="E37" i="11"/>
  <c r="O532" i="9"/>
  <c r="O513" i="9" s="1"/>
  <c r="O508" i="9" s="1"/>
  <c r="E116" i="11"/>
  <c r="O122" i="9"/>
  <c r="O113" i="9" s="1"/>
  <c r="O134" i="9"/>
  <c r="O133" i="9" s="1"/>
  <c r="E172" i="11"/>
  <c r="O109" i="9"/>
  <c r="O90" i="9" s="1"/>
  <c r="E117" i="11"/>
  <c r="O436" i="9"/>
  <c r="E76" i="11" s="1"/>
  <c r="Q437" i="9"/>
  <c r="Q436" i="9" s="1"/>
  <c r="O444" i="9"/>
  <c r="E79" i="11" s="1"/>
  <c r="Q445" i="9"/>
  <c r="Q444" i="9" s="1"/>
  <c r="O154" i="9"/>
  <c r="Q155" i="9"/>
  <c r="Q154" i="9" s="1"/>
  <c r="Q153" i="9" s="1"/>
  <c r="Q152" i="9" s="1"/>
  <c r="O450" i="9"/>
  <c r="O449" i="9" s="1"/>
  <c r="O448" i="9" s="1"/>
  <c r="Q451" i="9"/>
  <c r="Q450" i="9" s="1"/>
  <c r="Q449" i="9" s="1"/>
  <c r="Q448" i="9" s="1"/>
  <c r="O440" i="9"/>
  <c r="Q441" i="9"/>
  <c r="Q440" i="9" s="1"/>
  <c r="O341" i="9"/>
  <c r="Q342" i="9"/>
  <c r="Q341" i="9" s="1"/>
  <c r="Q340" i="9" s="1"/>
  <c r="O348" i="9"/>
  <c r="E189" i="11" s="1"/>
  <c r="Q349" i="9"/>
  <c r="Q348" i="9" s="1"/>
  <c r="M435" i="9"/>
  <c r="M366" i="9"/>
  <c r="O367" i="9"/>
  <c r="M448" i="9"/>
  <c r="K284" i="9"/>
  <c r="K281" i="9" s="1"/>
  <c r="M285" i="9"/>
  <c r="K256" i="9"/>
  <c r="M257" i="9"/>
  <c r="K259" i="9"/>
  <c r="M260" i="9"/>
  <c r="K62" i="9"/>
  <c r="M63" i="9"/>
  <c r="I146" i="9"/>
  <c r="I141" i="9" s="1"/>
  <c r="I137" i="9" s="1"/>
  <c r="K147" i="9"/>
  <c r="K61" i="9"/>
  <c r="K60" i="9" s="1"/>
  <c r="I43" i="9"/>
  <c r="K44" i="9"/>
  <c r="G38" i="9"/>
  <c r="I39" i="9"/>
  <c r="I62" i="9"/>
  <c r="I61" i="9" s="1"/>
  <c r="I60" i="9" s="1"/>
  <c r="G491" i="9"/>
  <c r="G377" i="9"/>
  <c r="I377" i="9" s="1"/>
  <c r="K377" i="9" s="1"/>
  <c r="M377" i="9" s="1"/>
  <c r="O377" i="9" s="1"/>
  <c r="Q377" i="9" s="1"/>
  <c r="G131" i="9"/>
  <c r="G266" i="9"/>
  <c r="I266" i="9" s="1"/>
  <c r="G226" i="9"/>
  <c r="I226" i="9" s="1"/>
  <c r="E75" i="11" l="1"/>
  <c r="O435" i="9"/>
  <c r="O340" i="9"/>
  <c r="E181" i="11"/>
  <c r="O153" i="9"/>
  <c r="O152" i="9" s="1"/>
  <c r="E206" i="11"/>
  <c r="O366" i="9"/>
  <c r="E201" i="11" s="1"/>
  <c r="Q367" i="9"/>
  <c r="Q366" i="9" s="1"/>
  <c r="Q435" i="9"/>
  <c r="M62" i="9"/>
  <c r="O63" i="9"/>
  <c r="M259" i="9"/>
  <c r="O260" i="9"/>
  <c r="M256" i="9"/>
  <c r="M255" i="9" s="1"/>
  <c r="O257" i="9"/>
  <c r="M284" i="9"/>
  <c r="M281" i="9" s="1"/>
  <c r="O285" i="9"/>
  <c r="M61" i="9"/>
  <c r="M60" i="9" s="1"/>
  <c r="K43" i="9"/>
  <c r="M44" i="9"/>
  <c r="K146" i="9"/>
  <c r="K141" i="9" s="1"/>
  <c r="K137" i="9" s="1"/>
  <c r="M147" i="9"/>
  <c r="K255" i="9"/>
  <c r="I264" i="9"/>
  <c r="K266" i="9"/>
  <c r="I225" i="9"/>
  <c r="K226" i="9"/>
  <c r="I38" i="9"/>
  <c r="I37" i="9" s="1"/>
  <c r="K39" i="9"/>
  <c r="G58" i="9"/>
  <c r="O284" i="9" l="1"/>
  <c r="Q285" i="9"/>
  <c r="Q284" i="9" s="1"/>
  <c r="Q281" i="9" s="1"/>
  <c r="O256" i="9"/>
  <c r="Q257" i="9"/>
  <c r="Q256" i="9" s="1"/>
  <c r="O259" i="9"/>
  <c r="Q260" i="9"/>
  <c r="Q259" i="9" s="1"/>
  <c r="O62" i="9"/>
  <c r="Q63" i="9"/>
  <c r="Q62" i="9" s="1"/>
  <c r="Q61" i="9" s="1"/>
  <c r="Q60" i="9" s="1"/>
  <c r="O255" i="9"/>
  <c r="E141" i="11" s="1"/>
  <c r="M146" i="9"/>
  <c r="M141" i="9" s="1"/>
  <c r="M137" i="9" s="1"/>
  <c r="O147" i="9"/>
  <c r="M43" i="9"/>
  <c r="O44" i="9"/>
  <c r="K38" i="9"/>
  <c r="M39" i="9"/>
  <c r="K225" i="9"/>
  <c r="M226" i="9"/>
  <c r="K264" i="9"/>
  <c r="M266" i="9"/>
  <c r="K37" i="9"/>
  <c r="G210" i="9"/>
  <c r="G556" i="9"/>
  <c r="I556" i="9" s="1"/>
  <c r="K556" i="9" s="1"/>
  <c r="M556" i="9" s="1"/>
  <c r="O556" i="9" s="1"/>
  <c r="Q556" i="9" s="1"/>
  <c r="G555" i="9"/>
  <c r="I555" i="9" s="1"/>
  <c r="K555" i="9" s="1"/>
  <c r="M555" i="9" s="1"/>
  <c r="O555" i="9" s="1"/>
  <c r="Q555" i="9" s="1"/>
  <c r="G554" i="9"/>
  <c r="I554" i="9" s="1"/>
  <c r="K554" i="9" s="1"/>
  <c r="M554" i="9" s="1"/>
  <c r="O554" i="9" s="1"/>
  <c r="G543" i="9"/>
  <c r="I543" i="9" s="1"/>
  <c r="K543" i="9" s="1"/>
  <c r="G544" i="9"/>
  <c r="I544" i="9" s="1"/>
  <c r="K544" i="9" s="1"/>
  <c r="M544" i="9" s="1"/>
  <c r="O544" i="9" s="1"/>
  <c r="Q544" i="9" s="1"/>
  <c r="G450" i="9"/>
  <c r="G449" i="9" s="1"/>
  <c r="G421" i="9"/>
  <c r="G378" i="9"/>
  <c r="I378" i="9" s="1"/>
  <c r="K378" i="9" s="1"/>
  <c r="M378" i="9" s="1"/>
  <c r="O378" i="9" s="1"/>
  <c r="Q378" i="9" s="1"/>
  <c r="G356" i="9"/>
  <c r="I356" i="9" s="1"/>
  <c r="K356" i="9" s="1"/>
  <c r="M356" i="9" s="1"/>
  <c r="O356" i="9" s="1"/>
  <c r="Q356" i="9" s="1"/>
  <c r="G264" i="9"/>
  <c r="I247" i="9"/>
  <c r="G243" i="9"/>
  <c r="I243" i="9" s="1"/>
  <c r="G241" i="9"/>
  <c r="I241" i="9" s="1"/>
  <c r="K241" i="9" s="1"/>
  <c r="M241" i="9" s="1"/>
  <c r="O241" i="9" s="1"/>
  <c r="Q241" i="9" s="1"/>
  <c r="G240" i="9"/>
  <c r="I240" i="9" s="1"/>
  <c r="K240" i="9" s="1"/>
  <c r="G223" i="9"/>
  <c r="I223" i="9" s="1"/>
  <c r="G186" i="9"/>
  <c r="G180" i="9"/>
  <c r="I180" i="9" s="1"/>
  <c r="K180" i="9" s="1"/>
  <c r="M180" i="9" s="1"/>
  <c r="O180" i="9" s="1"/>
  <c r="Q180" i="9" s="1"/>
  <c r="G179" i="9"/>
  <c r="I179" i="9" s="1"/>
  <c r="K179" i="9" s="1"/>
  <c r="M179" i="9" s="1"/>
  <c r="O179" i="9" s="1"/>
  <c r="Q179" i="9" s="1"/>
  <c r="G177" i="9"/>
  <c r="I177" i="9" s="1"/>
  <c r="G166" i="9"/>
  <c r="I166" i="9" s="1"/>
  <c r="K166" i="9" s="1"/>
  <c r="M166" i="9" s="1"/>
  <c r="O166" i="9" s="1"/>
  <c r="Q166" i="9" s="1"/>
  <c r="G163" i="9"/>
  <c r="I163" i="9" s="1"/>
  <c r="G56" i="9"/>
  <c r="G24" i="9"/>
  <c r="I24" i="9" s="1"/>
  <c r="K24" i="9" s="1"/>
  <c r="M24" i="9" s="1"/>
  <c r="O24" i="9" s="1"/>
  <c r="Q24" i="9" s="1"/>
  <c r="G23" i="9"/>
  <c r="I23" i="9" s="1"/>
  <c r="K23" i="9" s="1"/>
  <c r="M23" i="9" s="1"/>
  <c r="O23" i="9" s="1"/>
  <c r="Q23" i="9" s="1"/>
  <c r="G21" i="9"/>
  <c r="I21" i="9" s="1"/>
  <c r="G478" i="9"/>
  <c r="G476" i="9"/>
  <c r="G474" i="9"/>
  <c r="G442" i="9"/>
  <c r="G444" i="9"/>
  <c r="O43" i="9" l="1"/>
  <c r="E33" i="11" s="1"/>
  <c r="Q44" i="9"/>
  <c r="Q43" i="9" s="1"/>
  <c r="O146" i="9"/>
  <c r="E196" i="11" s="1"/>
  <c r="Q147" i="9"/>
  <c r="Q146" i="9" s="1"/>
  <c r="Q141" i="9" s="1"/>
  <c r="Q137" i="9" s="1"/>
  <c r="O61" i="9"/>
  <c r="O60" i="9" s="1"/>
  <c r="E46" i="11"/>
  <c r="O281" i="9"/>
  <c r="E159" i="11"/>
  <c r="O553" i="9"/>
  <c r="O552" i="9" s="1"/>
  <c r="O551" i="9" s="1"/>
  <c r="O550" i="9" s="1"/>
  <c r="Q554" i="9"/>
  <c r="Q553" i="9" s="1"/>
  <c r="Q552" i="9" s="1"/>
  <c r="Q551" i="9" s="1"/>
  <c r="Q550" i="9" s="1"/>
  <c r="Q255" i="9"/>
  <c r="O141" i="9"/>
  <c r="O137" i="9" s="1"/>
  <c r="M264" i="9"/>
  <c r="O266" i="9"/>
  <c r="M225" i="9"/>
  <c r="O226" i="9"/>
  <c r="M38" i="9"/>
  <c r="O39" i="9"/>
  <c r="M553" i="9"/>
  <c r="M552" i="9" s="1"/>
  <c r="M551" i="9" s="1"/>
  <c r="M550" i="9" s="1"/>
  <c r="M37" i="9"/>
  <c r="K239" i="9"/>
  <c r="M240" i="9"/>
  <c r="K542" i="9"/>
  <c r="K541" i="9" s="1"/>
  <c r="K540" i="9" s="1"/>
  <c r="K539" i="9" s="1"/>
  <c r="M543" i="9"/>
  <c r="I242" i="9"/>
  <c r="K243" i="9"/>
  <c r="I162" i="9"/>
  <c r="I161" i="9" s="1"/>
  <c r="I160" i="9" s="1"/>
  <c r="I159" i="9" s="1"/>
  <c r="K163" i="9"/>
  <c r="I176" i="9"/>
  <c r="I175" i="9" s="1"/>
  <c r="I174" i="9" s="1"/>
  <c r="K177" i="9"/>
  <c r="I222" i="9"/>
  <c r="I221" i="9" s="1"/>
  <c r="I216" i="9" s="1"/>
  <c r="I213" i="9" s="1"/>
  <c r="K223" i="9"/>
  <c r="I246" i="9"/>
  <c r="I245" i="9" s="1"/>
  <c r="K247" i="9"/>
  <c r="K553" i="9"/>
  <c r="K552" i="9" s="1"/>
  <c r="K551" i="9" s="1"/>
  <c r="K550" i="9" s="1"/>
  <c r="I20" i="9"/>
  <c r="I19" i="9" s="1"/>
  <c r="K21" i="9"/>
  <c r="I553" i="9"/>
  <c r="I552" i="9" s="1"/>
  <c r="I551" i="9" s="1"/>
  <c r="I550" i="9" s="1"/>
  <c r="I239" i="9"/>
  <c r="G242" i="9"/>
  <c r="I542" i="9"/>
  <c r="I541" i="9" s="1"/>
  <c r="I540" i="9" s="1"/>
  <c r="I539" i="9" s="1"/>
  <c r="G207" i="9"/>
  <c r="G453" i="9"/>
  <c r="G420" i="9"/>
  <c r="G448" i="9"/>
  <c r="G341" i="9"/>
  <c r="G271" i="9"/>
  <c r="G125" i="9"/>
  <c r="G416" i="9"/>
  <c r="G553" i="9"/>
  <c r="G552" i="9" s="1"/>
  <c r="G551" i="9" s="1"/>
  <c r="G550" i="9" s="1"/>
  <c r="G542" i="9"/>
  <c r="G541" i="9" s="1"/>
  <c r="G540" i="9" s="1"/>
  <c r="G539" i="9" s="1"/>
  <c r="G501" i="9"/>
  <c r="G358" i="9"/>
  <c r="I358" i="9" s="1"/>
  <c r="G359" i="9"/>
  <c r="I359" i="9" s="1"/>
  <c r="K359" i="9" s="1"/>
  <c r="M359" i="9" s="1"/>
  <c r="O359" i="9" s="1"/>
  <c r="Q359" i="9" s="1"/>
  <c r="G347" i="9"/>
  <c r="I347" i="9" s="1"/>
  <c r="G379" i="9"/>
  <c r="I379" i="9" s="1"/>
  <c r="G403" i="9"/>
  <c r="I403" i="9" s="1"/>
  <c r="K403" i="9" s="1"/>
  <c r="M403" i="9" s="1"/>
  <c r="O403" i="9" s="1"/>
  <c r="Q403" i="9" s="1"/>
  <c r="G402" i="9"/>
  <c r="I402" i="9" s="1"/>
  <c r="K402" i="9" s="1"/>
  <c r="M402" i="9" s="1"/>
  <c r="O402" i="9" s="1"/>
  <c r="Q402" i="9" s="1"/>
  <c r="G401" i="9"/>
  <c r="I401" i="9" s="1"/>
  <c r="K401" i="9" s="1"/>
  <c r="G391" i="9"/>
  <c r="I391" i="9" s="1"/>
  <c r="K391" i="9" s="1"/>
  <c r="M391" i="9" s="1"/>
  <c r="O391" i="9" s="1"/>
  <c r="Q391" i="9" s="1"/>
  <c r="G390" i="9"/>
  <c r="I390" i="9" s="1"/>
  <c r="K390" i="9" s="1"/>
  <c r="M390" i="9" s="1"/>
  <c r="O390" i="9" s="1"/>
  <c r="Q390" i="9" s="1"/>
  <c r="G389" i="9"/>
  <c r="I389" i="9" s="1"/>
  <c r="G428" i="9"/>
  <c r="I428" i="9" s="1"/>
  <c r="K428" i="9" s="1"/>
  <c r="M428" i="9" s="1"/>
  <c r="O428" i="9" s="1"/>
  <c r="Q428" i="9" s="1"/>
  <c r="G432" i="9"/>
  <c r="I432" i="9" s="1"/>
  <c r="K432" i="9" s="1"/>
  <c r="M432" i="9" s="1"/>
  <c r="O432" i="9" s="1"/>
  <c r="Q432" i="9" s="1"/>
  <c r="G431" i="9"/>
  <c r="I431" i="9" s="1"/>
  <c r="K431" i="9" s="1"/>
  <c r="M431" i="9" s="1"/>
  <c r="O431" i="9" s="1"/>
  <c r="Q431" i="9" s="1"/>
  <c r="G430" i="9"/>
  <c r="I430" i="9" s="1"/>
  <c r="K430" i="9" s="1"/>
  <c r="M430" i="9" s="1"/>
  <c r="O430" i="9" s="1"/>
  <c r="Q430" i="9" s="1"/>
  <c r="G297" i="9"/>
  <c r="G176" i="9"/>
  <c r="G162" i="9"/>
  <c r="G120" i="9"/>
  <c r="G62" i="9"/>
  <c r="G43" i="9"/>
  <c r="G35" i="9"/>
  <c r="G33" i="9"/>
  <c r="G31" i="9"/>
  <c r="G27" i="9"/>
  <c r="G20" i="9"/>
  <c r="O38" i="9" l="1"/>
  <c r="Q39" i="9"/>
  <c r="Q38" i="9" s="1"/>
  <c r="Q37" i="9" s="1"/>
  <c r="O225" i="9"/>
  <c r="Q226" i="9"/>
  <c r="Q225" i="9" s="1"/>
  <c r="O264" i="9"/>
  <c r="E145" i="11" s="1"/>
  <c r="Q266" i="9"/>
  <c r="Q264" i="9" s="1"/>
  <c r="Q427" i="9"/>
  <c r="Q426" i="9" s="1"/>
  <c r="Q425" i="9" s="1"/>
  <c r="M542" i="9"/>
  <c r="M541" i="9" s="1"/>
  <c r="M540" i="9" s="1"/>
  <c r="M539" i="9" s="1"/>
  <c r="O543" i="9"/>
  <c r="M239" i="9"/>
  <c r="O240" i="9"/>
  <c r="O427" i="9"/>
  <c r="K400" i="9"/>
  <c r="K399" i="9" s="1"/>
  <c r="K398" i="9" s="1"/>
  <c r="K397" i="9" s="1"/>
  <c r="K396" i="9" s="1"/>
  <c r="M401" i="9"/>
  <c r="K20" i="9"/>
  <c r="K19" i="9" s="1"/>
  <c r="K18" i="9" s="1"/>
  <c r="K17" i="9" s="1"/>
  <c r="K16" i="9" s="1"/>
  <c r="M21" i="9"/>
  <c r="K242" i="9"/>
  <c r="K238" i="9" s="1"/>
  <c r="M243" i="9"/>
  <c r="M427" i="9"/>
  <c r="K246" i="9"/>
  <c r="K245" i="9" s="1"/>
  <c r="M247" i="9"/>
  <c r="K222" i="9"/>
  <c r="K221" i="9" s="1"/>
  <c r="K216" i="9" s="1"/>
  <c r="K213" i="9" s="1"/>
  <c r="M223" i="9"/>
  <c r="K176" i="9"/>
  <c r="K175" i="9" s="1"/>
  <c r="K174" i="9" s="1"/>
  <c r="M177" i="9"/>
  <c r="K162" i="9"/>
  <c r="M163" i="9"/>
  <c r="I238" i="9"/>
  <c r="I237" i="9" s="1"/>
  <c r="I212" i="9" s="1"/>
  <c r="I388" i="9"/>
  <c r="I385" i="9" s="1"/>
  <c r="I384" i="9" s="1"/>
  <c r="I383" i="9" s="1"/>
  <c r="I382" i="9" s="1"/>
  <c r="K389" i="9"/>
  <c r="I376" i="9"/>
  <c r="I375" i="9" s="1"/>
  <c r="I374" i="9" s="1"/>
  <c r="I373" i="9" s="1"/>
  <c r="K379" i="9"/>
  <c r="K161" i="9"/>
  <c r="K160" i="9" s="1"/>
  <c r="K159" i="9" s="1"/>
  <c r="I346" i="9"/>
  <c r="I343" i="9" s="1"/>
  <c r="K347" i="9"/>
  <c r="I355" i="9"/>
  <c r="I354" i="9" s="1"/>
  <c r="K358" i="9"/>
  <c r="K427" i="9"/>
  <c r="I18" i="9"/>
  <c r="I17" i="9" s="1"/>
  <c r="I16" i="9" s="1"/>
  <c r="I427" i="9"/>
  <c r="I426" i="9" s="1"/>
  <c r="I425" i="9" s="1"/>
  <c r="I407" i="9" s="1"/>
  <c r="I406" i="9" s="1"/>
  <c r="I400" i="9"/>
  <c r="I399" i="9" s="1"/>
  <c r="I398" i="9" s="1"/>
  <c r="I397" i="9" s="1"/>
  <c r="I396" i="9" s="1"/>
  <c r="E26" i="11"/>
  <c r="G296" i="9"/>
  <c r="G340" i="9"/>
  <c r="E180" i="11"/>
  <c r="G175" i="9"/>
  <c r="G376" i="9"/>
  <c r="G375" i="9" s="1"/>
  <c r="G400" i="9"/>
  <c r="G388" i="9"/>
  <c r="G30" i="9"/>
  <c r="Q407" i="9" l="1"/>
  <c r="Q406" i="9" s="1"/>
  <c r="I339" i="9"/>
  <c r="I326" i="9" s="1"/>
  <c r="O239" i="9"/>
  <c r="Q240" i="9"/>
  <c r="Q239" i="9" s="1"/>
  <c r="O542" i="9"/>
  <c r="O541" i="9" s="1"/>
  <c r="O540" i="9" s="1"/>
  <c r="O539" i="9" s="1"/>
  <c r="Q543" i="9"/>
  <c r="Q542" i="9" s="1"/>
  <c r="Q541" i="9" s="1"/>
  <c r="Q540" i="9" s="1"/>
  <c r="Q539" i="9" s="1"/>
  <c r="O37" i="9"/>
  <c r="E32" i="11"/>
  <c r="E31" i="11" s="1"/>
  <c r="O426" i="9"/>
  <c r="O425" i="9" s="1"/>
  <c r="O407" i="9" s="1"/>
  <c r="O406" i="9" s="1"/>
  <c r="E71" i="11"/>
  <c r="M242" i="9"/>
  <c r="M238" i="9" s="1"/>
  <c r="O243" i="9"/>
  <c r="M20" i="9"/>
  <c r="M19" i="9" s="1"/>
  <c r="M18" i="9" s="1"/>
  <c r="M17" i="9" s="1"/>
  <c r="M16" i="9" s="1"/>
  <c r="O21" i="9"/>
  <c r="M400" i="9"/>
  <c r="O401" i="9"/>
  <c r="K237" i="9"/>
  <c r="K212" i="9" s="1"/>
  <c r="M162" i="9"/>
  <c r="O163" i="9"/>
  <c r="M176" i="9"/>
  <c r="O177" i="9"/>
  <c r="M222" i="9"/>
  <c r="M221" i="9" s="1"/>
  <c r="O223" i="9"/>
  <c r="M246" i="9"/>
  <c r="M245" i="9" s="1"/>
  <c r="O247" i="9"/>
  <c r="M161" i="9"/>
  <c r="M160" i="9" s="1"/>
  <c r="M159" i="9" s="1"/>
  <c r="M175" i="9"/>
  <c r="M174" i="9" s="1"/>
  <c r="M216" i="9"/>
  <c r="M213" i="9" s="1"/>
  <c r="M426" i="9"/>
  <c r="M399" i="9"/>
  <c r="M398" i="9" s="1"/>
  <c r="M397" i="9" s="1"/>
  <c r="M396" i="9" s="1"/>
  <c r="K355" i="9"/>
  <c r="K354" i="9" s="1"/>
  <c r="M358" i="9"/>
  <c r="K346" i="9"/>
  <c r="K343" i="9" s="1"/>
  <c r="M347" i="9"/>
  <c r="K376" i="9"/>
  <c r="K375" i="9" s="1"/>
  <c r="K374" i="9" s="1"/>
  <c r="K373" i="9" s="1"/>
  <c r="M379" i="9"/>
  <c r="K388" i="9"/>
  <c r="K385" i="9" s="1"/>
  <c r="K384" i="9" s="1"/>
  <c r="K383" i="9" s="1"/>
  <c r="K382" i="9" s="1"/>
  <c r="M389" i="9"/>
  <c r="K426" i="9"/>
  <c r="K425" i="9" s="1"/>
  <c r="K407" i="9" s="1"/>
  <c r="K406" i="9" s="1"/>
  <c r="G294" i="9"/>
  <c r="O246" i="9" l="1"/>
  <c r="O245" i="9" s="1"/>
  <c r="E135" i="11" s="1"/>
  <c r="Q247" i="9"/>
  <c r="Q246" i="9" s="1"/>
  <c r="Q245" i="9" s="1"/>
  <c r="O222" i="9"/>
  <c r="O221" i="9" s="1"/>
  <c r="Q223" i="9"/>
  <c r="Q222" i="9" s="1"/>
  <c r="Q221" i="9" s="1"/>
  <c r="Q216" i="9" s="1"/>
  <c r="Q213" i="9" s="1"/>
  <c r="O176" i="9"/>
  <c r="Q177" i="9"/>
  <c r="Q176" i="9" s="1"/>
  <c r="Q175" i="9" s="1"/>
  <c r="Q174" i="9" s="1"/>
  <c r="O162" i="9"/>
  <c r="Q163" i="9"/>
  <c r="Q162" i="9" s="1"/>
  <c r="Q161" i="9" s="1"/>
  <c r="Q160" i="9" s="1"/>
  <c r="Q159" i="9" s="1"/>
  <c r="O400" i="9"/>
  <c r="Q401" i="9"/>
  <c r="Q400" i="9" s="1"/>
  <c r="Q399" i="9" s="1"/>
  <c r="Q398" i="9" s="1"/>
  <c r="Q397" i="9" s="1"/>
  <c r="Q396" i="9" s="1"/>
  <c r="O20" i="9"/>
  <c r="O19" i="9" s="1"/>
  <c r="Q21" i="9"/>
  <c r="Q20" i="9" s="1"/>
  <c r="Q19" i="9" s="1"/>
  <c r="Q18" i="9" s="1"/>
  <c r="Q17" i="9" s="1"/>
  <c r="Q16" i="9" s="1"/>
  <c r="O242" i="9"/>
  <c r="O238" i="9" s="1"/>
  <c r="Q243" i="9"/>
  <c r="Q242" i="9" s="1"/>
  <c r="Q238" i="9" s="1"/>
  <c r="Q237" i="9" s="1"/>
  <c r="M237" i="9"/>
  <c r="M212" i="9" s="1"/>
  <c r="M388" i="9"/>
  <c r="M385" i="9" s="1"/>
  <c r="M384" i="9" s="1"/>
  <c r="M383" i="9" s="1"/>
  <c r="M382" i="9" s="1"/>
  <c r="O389" i="9"/>
  <c r="M376" i="9"/>
  <c r="M375" i="9" s="1"/>
  <c r="M374" i="9" s="1"/>
  <c r="M373" i="9" s="1"/>
  <c r="O379" i="9"/>
  <c r="M346" i="9"/>
  <c r="O347" i="9"/>
  <c r="M355" i="9"/>
  <c r="M354" i="9" s="1"/>
  <c r="O358" i="9"/>
  <c r="M425" i="9"/>
  <c r="M407" i="9" s="1"/>
  <c r="M406" i="9" s="1"/>
  <c r="K339" i="9"/>
  <c r="K326" i="9" s="1"/>
  <c r="G293" i="9"/>
  <c r="G292" i="9" s="1"/>
  <c r="E148" i="11"/>
  <c r="E147" i="11" s="1"/>
  <c r="G217" i="9"/>
  <c r="G366" i="9"/>
  <c r="G361" i="9"/>
  <c r="G284" i="9"/>
  <c r="G146" i="9"/>
  <c r="E223" i="11"/>
  <c r="E221" i="11"/>
  <c r="E14" i="11"/>
  <c r="G500" i="9"/>
  <c r="G499" i="9" s="1"/>
  <c r="G498" i="9" s="1"/>
  <c r="G127" i="9"/>
  <c r="G129" i="9"/>
  <c r="G290" i="9"/>
  <c r="G288" i="9"/>
  <c r="G225" i="9"/>
  <c r="G222" i="9"/>
  <c r="G221" i="9" s="1"/>
  <c r="G190" i="9"/>
  <c r="G489" i="9"/>
  <c r="G484" i="9" s="1"/>
  <c r="G440" i="9"/>
  <c r="G436" i="9"/>
  <c r="G371" i="9"/>
  <c r="E132" i="11" l="1"/>
  <c r="E131" i="11" s="1"/>
  <c r="O237" i="9"/>
  <c r="O355" i="9"/>
  <c r="Q358" i="9"/>
  <c r="Q355" i="9" s="1"/>
  <c r="Q354" i="9" s="1"/>
  <c r="O346" i="9"/>
  <c r="Q347" i="9"/>
  <c r="Q346" i="9" s="1"/>
  <c r="Q343" i="9" s="1"/>
  <c r="Q339" i="9" s="1"/>
  <c r="Q326" i="9" s="1"/>
  <c r="O376" i="9"/>
  <c r="Q379" i="9"/>
  <c r="Q376" i="9" s="1"/>
  <c r="Q375" i="9" s="1"/>
  <c r="Q374" i="9" s="1"/>
  <c r="Q373" i="9" s="1"/>
  <c r="O388" i="9"/>
  <c r="O385" i="9" s="1"/>
  <c r="Q389" i="9"/>
  <c r="Q388" i="9" s="1"/>
  <c r="Q385" i="9" s="1"/>
  <c r="Q384" i="9" s="1"/>
  <c r="Q383" i="9" s="1"/>
  <c r="Q382" i="9" s="1"/>
  <c r="O18" i="9"/>
  <c r="O17" i="9" s="1"/>
  <c r="O16" i="9" s="1"/>
  <c r="E20" i="11"/>
  <c r="O399" i="9"/>
  <c r="O398" i="9" s="1"/>
  <c r="O397" i="9" s="1"/>
  <c r="O396" i="9" s="1"/>
  <c r="E169" i="11"/>
  <c r="O161" i="9"/>
  <c r="O160" i="9" s="1"/>
  <c r="O159" i="9" s="1"/>
  <c r="E17" i="11"/>
  <c r="O175" i="9"/>
  <c r="O174" i="9" s="1"/>
  <c r="E23" i="11"/>
  <c r="E22" i="11" s="1"/>
  <c r="O216" i="9"/>
  <c r="O213" i="9" s="1"/>
  <c r="E123" i="11"/>
  <c r="E119" i="11" s="1"/>
  <c r="O212" i="9"/>
  <c r="Q212" i="9"/>
  <c r="M343" i="9"/>
  <c r="M339" i="9" s="1"/>
  <c r="M326" i="9" s="1"/>
  <c r="G435" i="9"/>
  <c r="E38" i="11"/>
  <c r="G414" i="9"/>
  <c r="G189" i="9"/>
  <c r="G188" i="9" s="1"/>
  <c r="G483" i="9"/>
  <c r="G216" i="9"/>
  <c r="G213" i="9" s="1"/>
  <c r="G385" i="9"/>
  <c r="G374" i="9"/>
  <c r="G373" i="9" s="1"/>
  <c r="G427" i="9"/>
  <c r="G533" i="9"/>
  <c r="E183" i="11"/>
  <c r="E182" i="11" s="1"/>
  <c r="G281" i="9"/>
  <c r="G287" i="9"/>
  <c r="G286" i="9" s="1"/>
  <c r="G329" i="9"/>
  <c r="O384" i="9" l="1"/>
  <c r="O383" i="9" s="1"/>
  <c r="O382" i="9" s="1"/>
  <c r="E170" i="11"/>
  <c r="O375" i="9"/>
  <c r="O374" i="9" s="1"/>
  <c r="O373" i="9" s="1"/>
  <c r="E34" i="11"/>
  <c r="O343" i="9"/>
  <c r="E187" i="11"/>
  <c r="O354" i="9"/>
  <c r="O339" i="9" s="1"/>
  <c r="O326" i="9" s="1"/>
  <c r="E199" i="11"/>
  <c r="G426" i="9"/>
  <c r="G425" i="9" s="1"/>
  <c r="E70" i="11"/>
  <c r="E69" i="11" s="1"/>
  <c r="G399" i="9"/>
  <c r="G398" i="9" s="1"/>
  <c r="G397" i="9" s="1"/>
  <c r="G396" i="9" s="1"/>
  <c r="G532" i="9"/>
  <c r="G513" i="9" s="1"/>
  <c r="G508" i="9" s="1"/>
  <c r="G384" i="9"/>
  <c r="G383" i="9" s="1"/>
  <c r="G382" i="9" s="1"/>
  <c r="G328" i="9"/>
  <c r="G327" i="9" s="1"/>
  <c r="E53" i="11"/>
  <c r="G335" i="9"/>
  <c r="G352" i="9"/>
  <c r="G348" i="9"/>
  <c r="G346" i="9"/>
  <c r="G316" i="9"/>
  <c r="G312" i="9"/>
  <c r="G307" i="9"/>
  <c r="G302" i="9"/>
  <c r="G184" i="9"/>
  <c r="G275" i="9"/>
  <c r="G274" i="9" s="1"/>
  <c r="G270" i="9"/>
  <c r="G246" i="9"/>
  <c r="G245" i="9" s="1"/>
  <c r="G259" i="9"/>
  <c r="G256" i="9"/>
  <c r="G239" i="9"/>
  <c r="G203" i="9"/>
  <c r="G154" i="9"/>
  <c r="G150" i="9"/>
  <c r="G139" i="9"/>
  <c r="G135" i="9"/>
  <c r="G123" i="9"/>
  <c r="G122" i="9" s="1"/>
  <c r="G118" i="9"/>
  <c r="G110" i="9"/>
  <c r="G77" i="9"/>
  <c r="G71" i="9"/>
  <c r="G54" i="9"/>
  <c r="G52" i="9"/>
  <c r="E52" i="11" l="1"/>
  <c r="E47" i="11"/>
  <c r="G68" i="9"/>
  <c r="G315" i="9"/>
  <c r="G301" i="9"/>
  <c r="I302" i="9"/>
  <c r="E115" i="11"/>
  <c r="E168" i="11"/>
  <c r="G37" i="9"/>
  <c r="G174" i="9"/>
  <c r="G407" i="9"/>
  <c r="G406" i="9" s="1"/>
  <c r="E188" i="11"/>
  <c r="E185" i="11" s="1"/>
  <c r="G202" i="9"/>
  <c r="G197" i="9" s="1"/>
  <c r="E40" i="11"/>
  <c r="E30" i="11" s="1"/>
  <c r="G167" i="9"/>
  <c r="G355" i="9"/>
  <c r="E198" i="11" s="1"/>
  <c r="G153" i="9"/>
  <c r="G152" i="9" s="1"/>
  <c r="E205" i="11"/>
  <c r="G300" i="9"/>
  <c r="G299" i="9" s="1"/>
  <c r="G306" i="9"/>
  <c r="G305" i="9" s="1"/>
  <c r="E212" i="11"/>
  <c r="E211" i="11" s="1"/>
  <c r="G314" i="9"/>
  <c r="E219" i="11"/>
  <c r="E218" i="11" s="1"/>
  <c r="G311" i="9"/>
  <c r="G310" i="9" s="1"/>
  <c r="E215" i="11"/>
  <c r="E214" i="11" s="1"/>
  <c r="G141" i="9"/>
  <c r="E194" i="11"/>
  <c r="E192" i="11" s="1"/>
  <c r="G138" i="9"/>
  <c r="G332" i="9"/>
  <c r="G331" i="9" s="1"/>
  <c r="E176" i="11"/>
  <c r="E175" i="11" s="1"/>
  <c r="E174" i="11" s="1"/>
  <c r="G134" i="9"/>
  <c r="G133" i="9" s="1"/>
  <c r="E171" i="11"/>
  <c r="G67" i="9"/>
  <c r="G109" i="9"/>
  <c r="G90" i="9" s="1"/>
  <c r="G76" i="9"/>
  <c r="G75" i="9" s="1"/>
  <c r="G117" i="9"/>
  <c r="G113" i="9" s="1"/>
  <c r="E151" i="11"/>
  <c r="E150" i="11" s="1"/>
  <c r="E25" i="11"/>
  <c r="E24" i="11" s="1"/>
  <c r="G255" i="9"/>
  <c r="G238" i="9"/>
  <c r="G343" i="9"/>
  <c r="E167" i="11" l="1"/>
  <c r="E217" i="11"/>
  <c r="E210" i="11"/>
  <c r="E179" i="11"/>
  <c r="I301" i="9"/>
  <c r="I300" i="9" s="1"/>
  <c r="I299" i="9" s="1"/>
  <c r="I173" i="9" s="1"/>
  <c r="I559" i="9" s="1"/>
  <c r="K302" i="9"/>
  <c r="G237" i="9"/>
  <c r="G212" i="9" s="1"/>
  <c r="G173" i="9" s="1"/>
  <c r="E160" i="11"/>
  <c r="E157" i="11" s="1"/>
  <c r="G137" i="9"/>
  <c r="E82" i="11"/>
  <c r="E134" i="11"/>
  <c r="E130" i="11" s="1"/>
  <c r="G19" i="9"/>
  <c r="G354" i="9"/>
  <c r="G339" i="9" s="1"/>
  <c r="E16" i="11"/>
  <c r="G61" i="9"/>
  <c r="G60" i="9" s="1"/>
  <c r="E45" i="11"/>
  <c r="G161" i="9"/>
  <c r="G160" i="9" s="1"/>
  <c r="G159" i="9" s="1"/>
  <c r="E44" i="11" l="1"/>
  <c r="E166" i="11"/>
  <c r="K301" i="9"/>
  <c r="M302" i="9"/>
  <c r="K300" i="9"/>
  <c r="K299" i="9" s="1"/>
  <c r="K173" i="9" s="1"/>
  <c r="K559" i="9" s="1"/>
  <c r="E118" i="11"/>
  <c r="G326" i="9"/>
  <c r="G18" i="9"/>
  <c r="G17" i="9" s="1"/>
  <c r="E19" i="11"/>
  <c r="M301" i="9" l="1"/>
  <c r="O302" i="9"/>
  <c r="M300" i="9"/>
  <c r="M299" i="9" s="1"/>
  <c r="M173" i="9" s="1"/>
  <c r="M559" i="9" s="1"/>
  <c r="E13" i="11"/>
  <c r="G16" i="9"/>
  <c r="G559" i="9" s="1"/>
  <c r="O301" i="9" l="1"/>
  <c r="Q302" i="9"/>
  <c r="Q301" i="9" s="1"/>
  <c r="Q300" i="9" s="1"/>
  <c r="Q299" i="9" s="1"/>
  <c r="Q173" i="9" s="1"/>
  <c r="Q559" i="9" s="1"/>
  <c r="O300" i="9" l="1"/>
  <c r="O299" i="9" s="1"/>
  <c r="O173" i="9" s="1"/>
  <c r="O559" i="9" s="1"/>
  <c r="E207" i="11"/>
  <c r="E204" i="11" s="1"/>
  <c r="E203" i="11" s="1"/>
  <c r="E225" i="11" s="1"/>
  <c r="E226" i="11" l="1"/>
</calcChain>
</file>

<file path=xl/comments1.xml><?xml version="1.0" encoding="utf-8"?>
<comments xmlns="http://schemas.openxmlformats.org/spreadsheetml/2006/main">
  <authors>
    <author>Автор</author>
  </authors>
  <commentList>
    <comment ref="G3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130тыс. Руб. РММХ</t>
        </r>
      </text>
    </comment>
  </commentList>
</comments>
</file>

<file path=xl/sharedStrings.xml><?xml version="1.0" encoding="utf-8"?>
<sst xmlns="http://schemas.openxmlformats.org/spreadsheetml/2006/main" count="3149" uniqueCount="642">
  <si>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</si>
  <si>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</si>
  <si>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</si>
  <si>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</si>
  <si>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</si>
  <si>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</si>
  <si>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</si>
  <si>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</si>
  <si>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</si>
  <si>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</si>
  <si>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</si>
  <si>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</si>
  <si>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</si>
  <si>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</si>
  <si>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</si>
  <si>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</si>
  <si>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</si>
  <si>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</si>
  <si>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</si>
  <si>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</si>
  <si>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</si>
  <si>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</si>
  <si>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</si>
  <si>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</si>
  <si>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</si>
  <si>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</si>
  <si>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</si>
  <si>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</si>
  <si>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</si>
  <si>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</si>
  <si>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</si>
  <si>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</si>
  <si>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</si>
  <si>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</si>
  <si>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</si>
  <si>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</si>
  <si>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</si>
  <si>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</si>
  <si>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</si>
  <si>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</si>
  <si>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</si>
  <si>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</si>
  <si>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</si>
  <si>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</si>
  <si>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</si>
  <si>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</si>
  <si>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</si>
  <si>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</si>
  <si>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</si>
  <si>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</si>
  <si>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</si>
  <si>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</si>
  <si>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</si>
  <si>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</si>
  <si>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</si>
  <si>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</si>
  <si>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</si>
  <si>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</si>
  <si>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</si>
  <si>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</si>
  <si>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</si>
  <si>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</si>
  <si>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</si>
  <si>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</si>
  <si>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</si>
  <si>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</si>
  <si>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</si>
  <si>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</si>
  <si>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</si>
  <si>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</si>
  <si>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</si>
  <si>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</si>
  <si>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</si>
  <si>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</si>
  <si>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</si>
  <si>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</si>
  <si>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</si>
  <si>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</si>
  <si>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</si>
  <si>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</si>
  <si>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</si>
  <si>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</si>
  <si>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</si>
  <si>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</si>
  <si>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</si>
  <si>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</si>
  <si>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</si>
  <si>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</si>
  <si>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</si>
  <si>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</si>
  <si>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</si>
  <si>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</si>
  <si>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</si>
  <si>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</si>
  <si>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</si>
  <si>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</si>
  <si>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</si>
  <si>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</si>
  <si>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</si>
  <si>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</si>
  <si>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</si>
  <si>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</si>
  <si>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</si>
  <si>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</si>
  <si>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</si>
  <si>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</si>
  <si>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</si>
  <si>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</si>
  <si>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</si>
  <si>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</si>
  <si>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</si>
  <si>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Государственная поддержка в сфере культуры, кинематографии и средств массовой информации</t>
  </si>
  <si>
    <t xml:space="preserve">Выравнивание бюджетной обеспеченности поселений из районного фонда финансовой поддержки </t>
  </si>
  <si>
    <t>Иные межбюджетные трансферты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</si>
  <si>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</si>
  <si>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</si>
  <si>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</si>
  <si>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</si>
  <si>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</si>
  <si>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</si>
  <si>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</si>
  <si>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Ежемесячное денежное вознаграждение за классное руководство за счет средств федерального бюджета</t>
  </si>
  <si>
    <t>520 09 00</t>
  </si>
  <si>
    <t>Учебные заведения и курсы по переподготовке кадров</t>
  </si>
  <si>
    <t>429 00 00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</si>
  <si>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</si>
  <si>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</si>
  <si>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</si>
  <si>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</si>
  <si>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</si>
  <si>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</si>
  <si>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</si>
  <si>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</si>
  <si>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</si>
  <si>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</si>
  <si>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</si>
  <si>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</si>
  <si>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</si>
  <si>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</si>
  <si>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</si>
  <si>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</si>
  <si>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</si>
  <si>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</si>
  <si>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</si>
  <si>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</si>
  <si>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</si>
  <si>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</si>
  <si>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</si>
  <si>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</si>
  <si>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</si>
  <si>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</si>
  <si>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</si>
  <si>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</si>
  <si>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</si>
  <si>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</si>
  <si>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</si>
  <si>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</si>
  <si>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</si>
  <si>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</si>
  <si>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</si>
  <si>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</si>
  <si>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</si>
  <si>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</si>
  <si>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</si>
  <si>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</si>
  <si>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</si>
  <si>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</si>
  <si>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795 00 11</t>
  </si>
  <si>
    <t>795 00 12</t>
  </si>
  <si>
    <t>440 99 01</t>
  </si>
  <si>
    <t>795 00 21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</si>
  <si>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</si>
  <si>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Топливно-энергетический комплекс</t>
  </si>
  <si>
    <t>795 40 01</t>
  </si>
  <si>
    <t xml:space="preserve"> СОЦИАЛЬНАЯ ПОЛИТИКА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</si>
  <si>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</si>
  <si>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</si>
  <si>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</si>
  <si>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</si>
  <si>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</si>
  <si>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</si>
  <si>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</si>
  <si>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</si>
  <si>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</si>
  <si>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</si>
  <si>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</si>
  <si>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</si>
  <si>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</si>
  <si>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</si>
  <si>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</si>
  <si>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</si>
  <si>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</si>
  <si>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</si>
  <si>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</si>
  <si>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</si>
  <si>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</si>
  <si>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</si>
  <si>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</si>
  <si>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</si>
  <si>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</si>
  <si>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</si>
  <si>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</si>
  <si>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</si>
  <si>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Администрация муниципального образования "Светлогорский район"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</si>
  <si>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</si>
  <si>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</si>
  <si>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</si>
  <si>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</si>
  <si>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</si>
  <si>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</si>
  <si>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244</t>
  </si>
  <si>
    <t>Резервные средства</t>
  </si>
  <si>
    <t>870</t>
  </si>
  <si>
    <t>0013801</t>
  </si>
  <si>
    <t>0900200</t>
  </si>
  <si>
    <t>0920311</t>
  </si>
  <si>
    <t>7950031</t>
  </si>
  <si>
    <t>0013601</t>
  </si>
  <si>
    <t>3029900</t>
  </si>
  <si>
    <t>7955001</t>
  </si>
  <si>
    <t>Водное хозяйство</t>
  </si>
  <si>
    <t>0029901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</si>
  <si>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</si>
  <si>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</si>
  <si>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</si>
  <si>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</si>
  <si>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</si>
  <si>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</si>
  <si>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</si>
  <si>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</si>
  <si>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</si>
  <si>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</si>
  <si>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 xml:space="preserve"> Мероприятия в области здравоохранения, спорта и физической культуры, туризма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</si>
  <si>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</si>
  <si>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</si>
  <si>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</si>
  <si>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</si>
  <si>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Муниципальное учреждение "Отдел по бюджету и финансам Светлогорского района"</t>
  </si>
  <si>
    <t>3510200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</si>
  <si>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</si>
  <si>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</si>
  <si>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</si>
  <si>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</si>
  <si>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</si>
  <si>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</si>
  <si>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</si>
  <si>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</si>
  <si>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</si>
  <si>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</si>
  <si>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</si>
  <si>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</si>
  <si>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</si>
  <si>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</si>
  <si>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</si>
  <si>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</si>
  <si>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4239900</t>
  </si>
  <si>
    <t>4297800</t>
  </si>
  <si>
    <t>4320200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</si>
  <si>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</si>
  <si>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</si>
  <si>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</si>
  <si>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</si>
  <si>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</si>
  <si>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</si>
  <si>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</si>
  <si>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</si>
  <si>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</si>
  <si>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</si>
  <si>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</si>
  <si>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</si>
  <si>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</si>
  <si>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</si>
  <si>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</si>
  <si>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</si>
  <si>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</si>
  <si>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</si>
  <si>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</si>
  <si>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</si>
  <si>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</si>
  <si>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</si>
  <si>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</si>
  <si>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</si>
  <si>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</si>
  <si>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</si>
  <si>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</si>
  <si>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</si>
  <si>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</si>
  <si>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</si>
  <si>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Муниципальное учреждение  "Учетно-финансовый центр Светлогорского района"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</si>
  <si>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</si>
  <si>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</si>
  <si>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</si>
  <si>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</si>
  <si>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</si>
  <si>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</si>
  <si>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</si>
  <si>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Муниципальное учреждение    "Дом Культуры п.Приморье"</t>
  </si>
  <si>
    <t>0920000</t>
  </si>
  <si>
    <t>0929900</t>
  </si>
  <si>
    <t>852</t>
  </si>
  <si>
    <t>Уплата прочих налогов, сборов и иных платежей</t>
  </si>
  <si>
    <t>411</t>
  </si>
  <si>
    <t>Бюджетные инвестиции в объекты муниципальной собственности казенным учреждениям</t>
  </si>
  <si>
    <t>Строительство детского садика на 150 мест</t>
  </si>
  <si>
    <t>Дорожное хозяйство (дорожные фонды)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</si>
  <si>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</si>
  <si>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</si>
  <si>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</si>
  <si>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</si>
  <si>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</si>
  <si>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Муниципальная целевая программа "Неотложные меры борьбы с туберкулезом в Светлогорском районе на 2008-2012годы"</t>
  </si>
  <si>
    <t>Муниципальная целевая программа "Вакцинопрофилактика на 2010-2012годы"</t>
  </si>
  <si>
    <t>7950012</t>
  </si>
  <si>
    <t>5221600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</si>
  <si>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</si>
  <si>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</si>
  <si>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</si>
  <si>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</si>
  <si>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</si>
  <si>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</si>
  <si>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5201302</t>
  </si>
  <si>
    <t>5201305</t>
  </si>
  <si>
    <t>5201303</t>
  </si>
  <si>
    <t>0020404</t>
  </si>
  <si>
    <t>2020404</t>
  </si>
  <si>
    <t>795 01 01</t>
  </si>
  <si>
    <t>795 04 11</t>
  </si>
  <si>
    <t>092 99 00</t>
  </si>
  <si>
    <t>5089902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</si>
  <si>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</si>
  <si>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</si>
  <si>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</si>
  <si>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</si>
  <si>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</si>
  <si>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</si>
  <si>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</si>
  <si>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</si>
  <si>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</si>
  <si>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</si>
  <si>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</si>
  <si>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</si>
  <si>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</si>
  <si>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</si>
  <si>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795 07 02</t>
  </si>
  <si>
    <t>7950702</t>
  </si>
  <si>
    <t>Субсидии некоммерческим организациям</t>
  </si>
  <si>
    <t>631</t>
  </si>
  <si>
    <t>7955004</t>
  </si>
  <si>
    <t>795 05 04</t>
  </si>
  <si>
    <t>7955005</t>
  </si>
  <si>
    <t>ФЦП "Строительство берегоукрепительных сооружений озера Тихое и реки Светлогорка в г. Светлогорске (III этап), средства бюджета МО г.п. "Город Светлогорск"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</si>
  <si>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</si>
  <si>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>795 05 05</t>
  </si>
  <si>
    <t xml:space="preserve">Мероприятия в области коммунального хозяйства </t>
  </si>
  <si>
    <t>ФЦП "Уличная хозяйственно-бытовая канализация по ул. Тельмана, пос. Отрадное г. Светлогорска", средства бюджета МО г.п. "Город Светлогорск"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</si>
  <si>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</si>
  <si>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Целевая программа Калининградской области "Дети-сироты на 2012-2016 годы" средства областного бюджета</t>
  </si>
  <si>
    <t>Целевая программа Калининградской области "Дети-сироты на 2012-2016 годы" средства районного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</si>
  <si>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</si>
  <si>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</si>
  <si>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</si>
  <si>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</si>
  <si>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</si>
  <si>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Муниципальное учреждение культуры "Светлогорская централизованная библиотечная система"</t>
  </si>
  <si>
    <t>ФЦП "Строительство берегоукрепительных сооружений озера Тихое и реки Светлогорка в г. Светлогорске" (III этап), средства бюджета МО г.п. "Город Светлогорск"</t>
  </si>
  <si>
    <t>Целевая программа Калининградской области "Дети-сироты" на 2012-2016 годы средства областного бюджета</t>
  </si>
  <si>
    <t>Целевая программа Калининградской области "Дети-сироты" на 2012-2016 годы средства районного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</si>
  <si>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</si>
  <si>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</si>
  <si>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t xml:space="preserve">Резервный фонд по предупреждению и ликвидации последствий чрезвычайных ситуаций и стихийных бедствий </t>
  </si>
  <si>
    <t>0700501</t>
  </si>
  <si>
    <t>0700502</t>
  </si>
  <si>
    <t>0700503</t>
  </si>
  <si>
    <t>0700504</t>
  </si>
  <si>
    <t>Государственная регистрация актов гражданского состояния за счет средств федерального бюджета</t>
  </si>
  <si>
    <t>Осуществление полномочий Калининградской области в сфере организации работы комиссий  по делам несовершеннолетних и защите их прав</t>
  </si>
  <si>
    <t>Исполнение судебных актов  по обращению взыскания  на средства местного бюджета</t>
  </si>
  <si>
    <t>Осуществление первичного воинского учета на территориях, где отсутствуют военные комиссариаты за счет средств федерального бюджета</t>
  </si>
  <si>
    <t>Бюджетные инвестиции в объекты государственной  собственности казенным учреждениям</t>
  </si>
  <si>
    <t>Осуществление полномочий Калининградской области в сфере обеспечения деятельности органа управления по организации и осуществлению  опеки и попечительства</t>
  </si>
  <si>
    <t>Осуществление полномочий Калининградской области по предоставлению услуги по воспитанию и обучению детей-инвалидов в муниципальных дошкольных образовательных учреждениях Калининградской области</t>
  </si>
  <si>
    <t>Осуществление полномочий Калининградской области в сфере социальной поддержки населения в части  обеспечения деятельности учреждений социального обслуживания населения</t>
  </si>
  <si>
    <t>Осуществление полномочий  Калининградской области в сфере выплаты компенсации части платы, взимаемой  с родителей или  законных представителей за содержание ребенка в образовательных организациях, реализующих основную общеобразовательную программу дошкольного образования</t>
  </si>
  <si>
    <t>ФЦП "Строительство берегоукрепительных сооружений озера Тихое и реки Светлогорки" (IV этап строительства)</t>
  </si>
  <si>
    <t>4361212</t>
  </si>
  <si>
    <t xml:space="preserve">Обеспечение подвоза учащихся к образовательным учреждениям </t>
  </si>
  <si>
    <t>5204100</t>
  </si>
  <si>
    <t xml:space="preserve">Осуществление полномочий Калининградской области в сфере: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               </t>
  </si>
  <si>
    <t>4440200</t>
  </si>
  <si>
    <t>Пенсионное обеспечение</t>
  </si>
  <si>
    <t xml:space="preserve">Доплаты к пенсиям, дополнительное пенсионное обеспечение          
</t>
  </si>
  <si>
    <t>4910000</t>
  </si>
  <si>
    <t>Пенсии, выплачиваемые организациями сектора государственного управления</t>
  </si>
  <si>
    <t>312</t>
  </si>
  <si>
    <t>111</t>
  </si>
  <si>
    <t>112</t>
  </si>
  <si>
    <t>6000400</t>
  </si>
  <si>
    <t>Ведомственная целевые программы "Развитие образования на период до 2015 года"</t>
  </si>
  <si>
    <t>7950712</t>
  </si>
  <si>
    <t xml:space="preserve">Федеральная целевая программа развития Калининградской области на период до 2015 года 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</si>
  <si>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(IV этап строительства)"</t>
  </si>
  <si>
    <t>Бюджетные инвестиции в объекты муниципальной собственности казенным учреждениям (Софинансирование работ по ремонту дорог в МО "Поселок Донское")</t>
  </si>
  <si>
    <t>Бюджетные инвестиции в объекты муниципальной собственности казенным учреждениям (Софинансирование работ по ремонту дорог в МО  "Поселок Приморье")</t>
  </si>
  <si>
    <t>Бюджетные инвестиции в объекты муниципальной собственности казенным учреждениям (Софинансирование работ по ремонту дорог в МО  "Город Светлогорск")</t>
  </si>
  <si>
    <t>Бюджетные инвестиции в объекты муниципальной собственности казенным учреждениям (софинансирование за счет средств районного бюджет)</t>
  </si>
  <si>
    <t>7950434</t>
  </si>
  <si>
    <t xml:space="preserve">Газопроводы-вводы к жилым домам в п. Приморье </t>
  </si>
  <si>
    <t>Распределительный газопровод высокого и низкого давления пос. Лесное</t>
  </si>
  <si>
    <t>7950421</t>
  </si>
  <si>
    <t>7950422</t>
  </si>
  <si>
    <t>Распределительный газопровод низкого давления от ШРП №31 до улиц: Кленовая, Артиллерийская, Дачная, Железнодорожная и рапределительный газопровод низкого давления к жилым домам № 5,5а, 7,9,9/5 по Балтийскому проспекту в п. Приморье. Газопровод низкого давления к жилым домам № 5,5а,7,9,9/5 по Балтийскому проспекту в п. Приморье</t>
  </si>
  <si>
    <t>7950423</t>
  </si>
  <si>
    <t>Газопроводы-вводы к жилым домам в п. Донское</t>
  </si>
  <si>
    <t>7950424</t>
  </si>
  <si>
    <t>Федеральная целевая программа развития Калининградской области на период до 2015 года "Строительство детского садика на 150 мест в г. Светлогорске"</t>
  </si>
  <si>
    <t xml:space="preserve">Бюджетные инвестиции в объекты муниципальной собственности казенным учреждениям </t>
  </si>
  <si>
    <t>Международный проект "Повышение чистоты вод Балтийского моря путем развития системы управления водными ресурсами"</t>
  </si>
  <si>
    <t>7955071</t>
  </si>
  <si>
    <t>Жилищное хозяйство</t>
  </si>
  <si>
    <t xml:space="preserve">Обеспечение мероприятий по капитальному ремонту многоквартирных домов за счет средств бюджетов </t>
  </si>
  <si>
    <t>0980201</t>
  </si>
  <si>
    <t>7950032</t>
  </si>
  <si>
    <t>Программа по обращению отходами производства и потребления в Калининградской области</t>
  </si>
  <si>
    <t>383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</si>
  <si>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</si>
  <si>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002 0 400</t>
  </si>
  <si>
    <t>795 04 34</t>
  </si>
  <si>
    <t>795 04 22</t>
  </si>
  <si>
    <t>795 04 21</t>
  </si>
  <si>
    <t>795 04 23</t>
  </si>
  <si>
    <t>795 04 24</t>
  </si>
  <si>
    <t xml:space="preserve">Доплаты к пенсиям, дополнительное пенсионное обеспечение </t>
  </si>
  <si>
    <t>491 00 00</t>
  </si>
  <si>
    <t>795 00 32</t>
  </si>
  <si>
    <t>795 07 12</t>
  </si>
  <si>
    <t>795 00 01</t>
  </si>
  <si>
    <t>436 12 12</t>
  </si>
  <si>
    <t>002 04 02</t>
  </si>
  <si>
    <t>520 41 00</t>
  </si>
  <si>
    <t>795 50 71</t>
  </si>
  <si>
    <t xml:space="preserve">Разработка комплексной программы </t>
  </si>
  <si>
    <t>Разработка комплексной программы</t>
  </si>
  <si>
    <t>0980202</t>
  </si>
  <si>
    <t>изменения к II чтению</t>
  </si>
  <si>
    <t>изменения к III чтению</t>
  </si>
  <si>
    <t>0920401</t>
  </si>
  <si>
    <t>Муниципальное казенное учреждение  "Комитет муниципального имущества и земельных ресурсов"</t>
  </si>
  <si>
    <t>Муниципальное казенное учреждение  "Информационные коммуникационные системы"</t>
  </si>
  <si>
    <t>7950525</t>
  </si>
  <si>
    <t>521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</si>
  <si>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</si>
  <si>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795 05 25</t>
  </si>
  <si>
    <t>Распределение  бюджетных ассигнований на 2013 год  по разделам, подразделам и целевым статьям  классификации расходов  бюджета  муниципального образования «Светлогорский район»</t>
  </si>
  <si>
    <t xml:space="preserve">Приложение № 8 </t>
  </si>
  <si>
    <t>341</t>
  </si>
  <si>
    <t>384</t>
  </si>
  <si>
    <t>поправки</t>
  </si>
  <si>
    <t>4320201</t>
  </si>
  <si>
    <t>Организация отдыха детей всех групп здоровья в лагерях различных типов</t>
  </si>
  <si>
    <t>Обеспечение отдыха и оздоровление детей, находящихся в трудной жизненной ситуации за счет средств федерального бюджета</t>
  </si>
  <si>
    <t>432 02 01</t>
  </si>
  <si>
    <t>Обеспечение отдыха и оздоровление детей, находящихся в трудной жизненной ситуации за счет средств областного бюджета</t>
  </si>
  <si>
    <t>Обеспечение отдыха и оздоровление детей, находящихся в трудной жизненной ситуации за счет средств федерального и областного бюджетов</t>
  </si>
  <si>
    <t>1008828</t>
  </si>
  <si>
    <t>Обеспечение жильем молодых семей в рамках федеральной целевой программы "Жилище"</t>
  </si>
  <si>
    <t>100 88 28</t>
  </si>
  <si>
    <t>5223211</t>
  </si>
  <si>
    <t>Подпрограмма "Обеспечение жильем молодых семей"</t>
  </si>
  <si>
    <t>522 32 11</t>
  </si>
  <si>
    <t>Обеспечение мероприятий по капитальному ремонту многоквартирных домов</t>
  </si>
  <si>
    <t xml:space="preserve"> Жилищное хозяйство</t>
  </si>
  <si>
    <t>5226500</t>
  </si>
  <si>
    <t>6000100</t>
  </si>
  <si>
    <t>Уличное освещение</t>
  </si>
  <si>
    <t>6000200</t>
  </si>
  <si>
    <t>Строительство и содержание автомобильных дорог и инженерных сооружений на них в границах городских  округов и поселений в рамках благоустройства</t>
  </si>
  <si>
    <t>6000500</t>
  </si>
  <si>
    <t>3500300</t>
  </si>
  <si>
    <t xml:space="preserve">Мероприятия в области жилищного хозяйства </t>
  </si>
  <si>
    <t>350 03 00</t>
  </si>
  <si>
    <t>092 03 11</t>
  </si>
  <si>
    <t>4200400</t>
  </si>
  <si>
    <t>Оказание услуги по дошкольному образованию в муниципальных учреждениях и в учреждениях, созданных в рамках муниципально-частного партнерства, на открываемые дополнительные места в указанных учреждениях</t>
  </si>
  <si>
    <t>4209901</t>
  </si>
  <si>
    <t>5203500</t>
  </si>
  <si>
    <t>Поддержка мер по обеспечению повышения заработной платы педагогическим работникам дошкольных образовательных учреждений за счет средств местного бюджета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</si>
  <si>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 за счет средств областного бюджета</t>
  </si>
  <si>
    <t>420 02 00</t>
  </si>
  <si>
    <t>420 04 00</t>
  </si>
  <si>
    <t>420 99 01</t>
  </si>
  <si>
    <t>522 35 00</t>
  </si>
  <si>
    <t>4361204</t>
  </si>
  <si>
    <t>5204200</t>
  </si>
  <si>
    <t>Фонд стимулирования качества образования в общеобразовательных учреждениях</t>
  </si>
  <si>
    <t>436 12 04</t>
  </si>
  <si>
    <t>520 42 00</t>
  </si>
  <si>
    <t>5210403</t>
  </si>
  <si>
    <t>540</t>
  </si>
  <si>
    <t>Прочие межбюджетные трансферты общего характера</t>
  </si>
  <si>
    <t>Оздоровление детей за счет средств областного бюджета</t>
  </si>
  <si>
    <t>4420001</t>
  </si>
  <si>
    <t>Поддержка мер по обеспечению повышения заработной платы специалистам муниципальных библиотек</t>
  </si>
  <si>
    <t xml:space="preserve"> Фонд непредвиденных расходов</t>
  </si>
  <si>
    <t xml:space="preserve">Энергосбережение и повышение энергетической эффективности на 2010-2020гг </t>
  </si>
  <si>
    <t>Резервный фонд по предупреждению  и ликвидации последствий чрезвычайных ситуаций и стихийных бедствий</t>
  </si>
  <si>
    <t>4361205</t>
  </si>
  <si>
    <t>Обеспечение подвоза учащихся к муниципальным общеобразовательным учреждениям</t>
  </si>
  <si>
    <t>313</t>
  </si>
  <si>
    <t>Компенсация части родительской платы за содержание ребенка в муниципальных учреждениях, реализующих основную общеобразовательную программу</t>
  </si>
  <si>
    <t>Пособия и компенсации по публичным нормативным обязательствам</t>
  </si>
  <si>
    <t>5220800</t>
  </si>
  <si>
    <t>Массовый спорт</t>
  </si>
  <si>
    <t>Мероприятия ЦП КО "Физическая культура и спорт для всех" на 2007-2016 годы по постановлению от 26.10.2012 №815, за счет остатка на 01.01.2013</t>
  </si>
  <si>
    <t>522 08 00</t>
  </si>
  <si>
    <t>5225944</t>
  </si>
  <si>
    <t xml:space="preserve"> ФЦП "Разработка проектной документации на распределительные газопроводы и газовые вводы к жилым домам пос. Донское за счет остатка на 01.01.2013</t>
  </si>
  <si>
    <t xml:space="preserve"> Топливно-энергетический комплекс</t>
  </si>
  <si>
    <t>5225965</t>
  </si>
  <si>
    <t>ФЦП Строительство газопровода для перевода на природный газ котельной №5 пос. Донское, за счет остатка на 01.01.2013</t>
  </si>
  <si>
    <t>5222380</t>
  </si>
  <si>
    <t xml:space="preserve"> Проведение проектных работ по объекту "Создание пешеходной туристической зоны в г. Светлогорске с реконструкцией ул. Октябрьской и ул. Ленина"</t>
  </si>
  <si>
    <t>5225423</t>
  </si>
  <si>
    <t>5225675</t>
  </si>
  <si>
    <t>5225695</t>
  </si>
  <si>
    <t xml:space="preserve">ФЦП Газопроводы-вводы к жилым домам в пос.Приморье </t>
  </si>
  <si>
    <t>Муниципальные целевые программы</t>
  </si>
  <si>
    <t>7950404</t>
  </si>
  <si>
    <t>Строительство газопровода ввода к жилым домам пос. Майский за счет МБТ г.п. Г. Светлогорска</t>
  </si>
  <si>
    <t>5225593</t>
  </si>
  <si>
    <t>1004581</t>
  </si>
  <si>
    <t>5225154</t>
  </si>
  <si>
    <t xml:space="preserve"> ЦП КО "Областная инвестиционная программа на 2009-2014 гг". Реконструкция здания ДШИ г. Светлогорск за счет остатка на 01.01.2013</t>
  </si>
  <si>
    <t>5080001</t>
  </si>
  <si>
    <t>7950425</t>
  </si>
  <si>
    <t>Работы по тех.инвентаризации объекта "Реконструкция (перевод) на природный газ котельной №5 в п. Донское"</t>
  </si>
  <si>
    <t>Бюджетные инвестиции в объекты муниципальной собственности казенным учреждениям (софинансирование за счет МБТ г.п. поселок Донское)</t>
  </si>
  <si>
    <t>5226501</t>
  </si>
  <si>
    <t>Разработка схем санитарной очистки территории, за счет МБТ г. Светлогорска</t>
  </si>
  <si>
    <t>Иные межбюджетные трансферты бюджетам поселений из бюджетов муниципальных районов г.п. Город Светлогорск на оплату работ и услуг на прием, транспортировку и очистку ливневых сточных вод</t>
  </si>
  <si>
    <t>090 04 01</t>
  </si>
  <si>
    <t>522 00 00</t>
  </si>
  <si>
    <t>522 23 80</t>
  </si>
  <si>
    <t>Проведение проектных работ по объекту "Создание пешеходной туристической зоны в г. Светлогорске с реконструкцией ул. Октябрьской и ул. Ленина"</t>
  </si>
  <si>
    <t>Региональные целевые программы</t>
  </si>
  <si>
    <t>522 54 23</t>
  </si>
  <si>
    <t>522 56 75</t>
  </si>
  <si>
    <t>522 56 95</t>
  </si>
  <si>
    <t>522 65 00</t>
  </si>
  <si>
    <t>ФЦП "Реконструкция (перевод) на природный газ котельной №5 в пос. Донское, за счет остатка на 01.01.2013</t>
  </si>
  <si>
    <t>ФЦП Распределительный газопровод высокого и низкого давления в пос. Лесное</t>
  </si>
  <si>
    <t>522 65 01</t>
  </si>
  <si>
    <t>795 04 04</t>
  </si>
  <si>
    <t>600 02 00</t>
  </si>
  <si>
    <t>600 01 00</t>
  </si>
  <si>
    <t>100 45 81</t>
  </si>
  <si>
    <t>522 55 93</t>
  </si>
  <si>
    <t>Областная инвестиционная программа  Калининградской области на период до 2015 года "Строительство детского садика на 150 мест в г. Светлогорске"</t>
  </si>
  <si>
    <t>522 51 54</t>
  </si>
  <si>
    <t>436 12 05</t>
  </si>
  <si>
    <t>795 04 25</t>
  </si>
  <si>
    <t>Ведомственная структура расходов бюджета муниципального образования «Светлогорский район»                                                                                                                                         на 2013 год</t>
  </si>
  <si>
    <t>0980304</t>
  </si>
  <si>
    <t>Целевая программа Калининградской области "Переселение граждан из аврийного жилищного фонда с учетом необходимости развития алоэтажного жилищного строительства на 2013-2015гг, за счет средств местного бюджета</t>
  </si>
  <si>
    <t>098 03 04</t>
  </si>
  <si>
    <t>Иные выплаты персоналу, за исключением фонда
оплаты труда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</si>
  <si>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</si>
  <si>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0980104</t>
  </si>
  <si>
    <t>0980204</t>
  </si>
  <si>
    <t>5050502</t>
  </si>
  <si>
    <t>Субсидия местным бюджетам на софинансирование работ по энергетическому обследованию и установке приборов учета в муниципальных учреждениях</t>
  </si>
  <si>
    <t>5226800</t>
  </si>
  <si>
    <t>Исполнение судебных решений по искам</t>
  </si>
  <si>
    <t>Прочая закупка товаров, работ и услуг для государственных нужд</t>
  </si>
  <si>
    <t>0700191</t>
  </si>
  <si>
    <t>Резервный фонд Правительства Калининградской области</t>
  </si>
  <si>
    <t xml:space="preserve"> МЦП Развитие системы образования на период до 2015года</t>
  </si>
  <si>
    <t>5200901</t>
  </si>
  <si>
    <t>Оздоровление детей за счет фед.бюджета</t>
  </si>
  <si>
    <t>5228100</t>
  </si>
  <si>
    <t>4440201</t>
  </si>
  <si>
    <t xml:space="preserve"> Приобретение товаров, работ, услуг в пользу граждан</t>
  </si>
  <si>
    <t>Комплектование книжных фондов</t>
  </si>
  <si>
    <t>5220200</t>
  </si>
  <si>
    <t xml:space="preserve"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</si>
  <si>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 I и II этапы строительства)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</si>
  <si>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 III этап строительства)</t>
  </si>
  <si>
    <t>ЦП "Строительство, реконструкция, кап.ремонт, ремонт и содержание автомобильных дорог общего пользования на 2013-2018гг."</t>
  </si>
  <si>
    <t>5221008</t>
  </si>
  <si>
    <t>7950402</t>
  </si>
  <si>
    <t>Софинансирование объектов капитального строительства государственной собственности</t>
  </si>
  <si>
    <t>5225273</t>
  </si>
  <si>
    <t>7957001</t>
  </si>
  <si>
    <t xml:space="preserve"> ЦП КО "Областная инвестиционная программа на 2009-2014 гг". Реконструкция здания ДШИ г. Светлогорск </t>
  </si>
  <si>
    <t>505 05 02</t>
  </si>
  <si>
    <t>522 68 00</t>
  </si>
  <si>
    <t>Cофинансирование работ по энергетическому обследованию и установке приборов учета в муниципальных учреждениях</t>
  </si>
  <si>
    <t>070 01 91</t>
  </si>
  <si>
    <t>520 09 01</t>
  </si>
  <si>
    <t>Целевые программы муниципальных образований "Доступная для инвалидов среда жизнедеятельности</t>
  </si>
  <si>
    <t>522 81 00</t>
  </si>
  <si>
    <t>444 02 00</t>
  </si>
  <si>
    <t>522 02 00</t>
  </si>
  <si>
    <t>522 10 08</t>
  </si>
  <si>
    <t>522 52 73</t>
  </si>
  <si>
    <t>795 70 01</t>
  </si>
  <si>
    <t>Иные межбюджетные трансферты бюджетам поселений из бюджетов муниципальных районов на организацию спасательного поста в п. Приморье</t>
  </si>
  <si>
    <t>Транспорт</t>
  </si>
  <si>
    <t>Резервный фонд Правительства Калининградской области, на выполнение работ по капитальному ремонту канатной дороги по ул. Московской в г. Светлогорске</t>
  </si>
  <si>
    <t>Субсидии юридическим лицам (кроме государственных учреждений) и физическим лицам -производителям товаров, работ, услуг</t>
  </si>
  <si>
    <t>070 0191</t>
  </si>
  <si>
    <t>Субсидии на проведение отдельных мероприятий по другим видам транспорта</t>
  </si>
  <si>
    <t>3170100</t>
  </si>
  <si>
    <t>317 01 00</t>
  </si>
  <si>
    <t>5170500</t>
  </si>
  <si>
    <t>512</t>
  </si>
  <si>
    <t>Дотации бюджетам субъектов Российской Федерации на поддержку мер по обеспечению сбалансированности бюджетов</t>
  </si>
  <si>
    <t>Дотация на обеспечение мер по дополнительной поддержке бюджета</t>
  </si>
  <si>
    <t xml:space="preserve">Приложение № 1 </t>
  </si>
  <si>
    <t>Иные межбюджетные трансферты бюджетам поселений из бюджетов муниципальных районов г.п. Город Светлогорск на подготовку к отопительному сезону</t>
  </si>
  <si>
    <t>Иные межбюджетные трансферты бюджетам поселений из бюджетов муниципальных районов на подготовку к отопительному сезону в п. Донское</t>
  </si>
  <si>
    <t>521 04 03</t>
  </si>
  <si>
    <t xml:space="preserve">Иные межбюджетные трансферты бюджетам поселений из бюджетов муниципальных районов </t>
  </si>
  <si>
    <t>от 23 августа 2013 года № 29</t>
  </si>
  <si>
    <t>от 17 декабря 2012 года № 73</t>
  </si>
  <si>
    <t>Обеспечение мероприятий по переселению граждан из аварийного жилого фонда за счет средств, поступивших от гос. корпорации - Фонда содействия реформированию жилищно-коммунального хозяйства</t>
  </si>
  <si>
    <t>Обеспечение мероприятий по переселению  граждан из аварийного жилищного фонда</t>
  </si>
  <si>
    <t>МП "Повышение чистоты вод Балтийского моря"</t>
  </si>
  <si>
    <t>Выплата единовременного пособия при всех формах устройства детей, лишенных родительского попечения, в семью</t>
  </si>
  <si>
    <t>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</si>
  <si>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Обеспечение питания учащихся из малообеспеченных семей в муниципальных общеобразовательных учреждениях</t>
  </si>
  <si>
    <t>Субсидии юридическим лицам (кроме государственных учреждений) и физическим лицам - производителям товаров, работ, услуг за счет средств областного бюджета</t>
  </si>
  <si>
    <t>МУ "Отдел социальной защиты населения администрации Светлогорского района"</t>
  </si>
  <si>
    <t>Оздоровление детей за счет местного бюджета</t>
  </si>
  <si>
    <t>Целевая программа Калининградской области "Обращение с отходами производства и потребления в Калининградской области на 2012-2016 годы"</t>
  </si>
  <si>
    <t>Мероприятия в области коммунального хозяйства</t>
  </si>
  <si>
    <t>от 23 августа  2013 года № 29</t>
  </si>
  <si>
    <t xml:space="preserve">Приложение №  2  </t>
  </si>
  <si>
    <t>ФЦП "Разработка проектной документации на распределительные газопроводы и газовые вводы к жилым домам пос. Донское за счет остатка на 01.01.2013</t>
  </si>
  <si>
    <t>«Развитие сети автомобильных дорог Калининградской области на 2013 - 2018 годы"</t>
  </si>
  <si>
    <t>Целевая программа Калининградской области "Переселение граждан из аврийного жилищного фонда с учетом необходимости развития малоэтажного жилищного строительства на 2013-2015гг, за счет средств местного бюджета</t>
  </si>
  <si>
    <t>ЦП КО "Областная инвестиционная программа на 2009-2014 гг". Реконструкция здания ДШИ г. Светлогорск за счет остатка на 01.01.2013</t>
  </si>
  <si>
    <t>Капитальный ремонт канатной дороги по ул. Московская в г. Светлогорске за счет средств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</si>
</sst>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134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shrinkToFit="1"/>
    </xf>
    <xf numFmtId="4" fontId="1" fillId="2" borderId="4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0" fontId="2" fillId="2" borderId="5" xfId="0" applyFont="1" applyFill="1" applyBorder="1" applyAlignment="1">
      <alignment horizontal="left" wrapText="1"/>
    </xf>
    <xf numFmtId="49" fontId="2" fillId="2" borderId="5" xfId="0" applyNumberFormat="1" applyFont="1" applyFill="1" applyBorder="1" applyAlignment="1">
      <alignment horizontal="center" shrinkToFit="1"/>
    </xf>
    <xf numFmtId="0" fontId="2" fillId="2" borderId="1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wrapText="1"/>
    </xf>
    <xf numFmtId="4" fontId="1" fillId="2" borderId="11" xfId="0" applyNumberFormat="1" applyFont="1" applyFill="1" applyBorder="1" applyAlignment="1" applyProtection="1">
      <alignment horizontal="right" shrinkToFit="1"/>
      <protection locked="0"/>
    </xf>
    <xf numFmtId="4" fontId="1" fillId="0" borderId="7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0" fontId="5" fillId="3" borderId="0" xfId="0" applyFont="1" applyFill="1"/>
    <xf numFmtId="49" fontId="5" fillId="3" borderId="0" xfId="0" applyNumberFormat="1" applyFont="1" applyFill="1" applyAlignment="1">
      <alignment horizontal="center"/>
    </xf>
    <xf numFmtId="0" fontId="5" fillId="3" borderId="0" xfId="0" applyFont="1" applyFill="1" applyBorder="1"/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2" fillId="3" borderId="2" xfId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4" fontId="5" fillId="3" borderId="0" xfId="0" applyNumberFormat="1" applyFont="1" applyFill="1"/>
    <xf numFmtId="0" fontId="7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" fontId="14" fillId="0" borderId="0" xfId="0" applyNumberFormat="1" applyFont="1"/>
    <xf numFmtId="4" fontId="17" fillId="0" borderId="0" xfId="0" applyNumberFormat="1" applyFont="1"/>
    <xf numFmtId="4" fontId="14" fillId="3" borderId="0" xfId="0" applyNumberFormat="1" applyFont="1" applyFill="1"/>
    <xf numFmtId="0" fontId="4" fillId="3" borderId="14" xfId="0" applyFont="1" applyFill="1" applyBorder="1" applyAlignment="1">
      <alignment horizontal="center" vertical="center"/>
    </xf>
    <xf numFmtId="49" fontId="4" fillId="3" borderId="14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5" borderId="1" xfId="0" applyNumberFormat="1" applyFont="1" applyFill="1" applyBorder="1"/>
    <xf numFmtId="49" fontId="2" fillId="3" borderId="1" xfId="0" applyNumberFormat="1" applyFont="1" applyFill="1" applyBorder="1" applyAlignment="1">
      <alignment horizontal="center" shrinkToFit="1"/>
    </xf>
    <xf numFmtId="49" fontId="2" fillId="3" borderId="1" xfId="0" applyNumberFormat="1" applyFont="1" applyFill="1" applyBorder="1" applyAlignment="1">
      <alignment horizontal="center"/>
    </xf>
    <xf numFmtId="4" fontId="14" fillId="0" borderId="14" xfId="0" applyNumberFormat="1" applyFont="1" applyBorder="1"/>
    <xf numFmtId="0" fontId="2" fillId="3" borderId="0" xfId="0" applyFont="1" applyFill="1" applyBorder="1"/>
    <xf numFmtId="4" fontId="2" fillId="3" borderId="0" xfId="0" applyNumberFormat="1" applyFont="1" applyFill="1" applyBorder="1"/>
    <xf numFmtId="0" fontId="3" fillId="2" borderId="2" xfId="0" applyFont="1" applyFill="1" applyBorder="1" applyAlignment="1">
      <alignment wrapText="1"/>
    </xf>
    <xf numFmtId="0" fontId="5" fillId="0" borderId="0" xfId="0" applyFont="1" applyFill="1"/>
    <xf numFmtId="0" fontId="4" fillId="0" borderId="14" xfId="0" applyFont="1" applyFill="1" applyBorder="1" applyAlignment="1">
      <alignment horizontal="center" vertical="center"/>
    </xf>
    <xf numFmtId="4" fontId="8" fillId="0" borderId="1" xfId="0" applyNumberFormat="1" applyFont="1" applyFill="1" applyBorder="1"/>
    <xf numFmtId="4" fontId="5" fillId="0" borderId="1" xfId="0" applyNumberFormat="1" applyFont="1" applyFill="1" applyBorder="1"/>
    <xf numFmtId="4" fontId="5" fillId="0" borderId="0" xfId="0" applyNumberFormat="1" applyFont="1" applyFill="1"/>
    <xf numFmtId="0" fontId="8" fillId="3" borderId="1" xfId="0" applyFont="1" applyFill="1" applyBorder="1" applyAlignment="1">
      <alignment wrapText="1"/>
    </xf>
    <xf numFmtId="0" fontId="8" fillId="0" borderId="0" xfId="0" applyFont="1"/>
    <xf numFmtId="0" fontId="2" fillId="0" borderId="2" xfId="0" applyFont="1" applyFill="1" applyBorder="1" applyAlignment="1">
      <alignment horizontal="left" wrapText="1"/>
    </xf>
    <xf numFmtId="0" fontId="8" fillId="0" borderId="1" xfId="0" applyFont="1" applyFill="1" applyBorder="1"/>
    <xf numFmtId="49" fontId="8" fillId="0" borderId="1" xfId="0" applyNumberFormat="1" applyFont="1" applyFill="1" applyBorder="1" applyAlignment="1">
      <alignment horizontal="center"/>
    </xf>
    <xf numFmtId="4" fontId="17" fillId="0" borderId="0" xfId="0" applyNumberFormat="1" applyFont="1" applyFill="1"/>
    <xf numFmtId="0" fontId="8" fillId="0" borderId="0" xfId="0" applyFont="1" applyFill="1"/>
    <xf numFmtId="0" fontId="5" fillId="0" borderId="1" xfId="0" applyFont="1" applyFill="1" applyBorder="1"/>
    <xf numFmtId="49" fontId="5" fillId="0" borderId="1" xfId="0" applyNumberFormat="1" applyFont="1" applyFill="1" applyBorder="1" applyAlignment="1">
      <alignment horizontal="center"/>
    </xf>
    <xf numFmtId="4" fontId="14" fillId="0" borderId="0" xfId="0" applyNumberFormat="1" applyFont="1" applyFill="1"/>
    <xf numFmtId="0" fontId="5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shrinkToFit="1"/>
    </xf>
    <xf numFmtId="4" fontId="1" fillId="0" borderId="1" xfId="0" applyNumberFormat="1" applyFont="1" applyFill="1" applyBorder="1" applyAlignment="1" applyProtection="1">
      <alignment horizontal="right" shrinkToFit="1"/>
      <protection locked="0"/>
    </xf>
    <xf numFmtId="49" fontId="2" fillId="0" borderId="1" xfId="0" applyNumberFormat="1" applyFont="1" applyFill="1" applyBorder="1" applyAlignment="1">
      <alignment horizontal="center" shrinkToFit="1"/>
    </xf>
    <xf numFmtId="4" fontId="2" fillId="0" borderId="1" xfId="0" applyNumberFormat="1" applyFont="1" applyFill="1" applyBorder="1" applyAlignment="1" applyProtection="1">
      <alignment horizontal="right" shrinkToFit="1"/>
      <protection locked="0"/>
    </xf>
    <xf numFmtId="4" fontId="1" fillId="0" borderId="15" xfId="0" applyNumberFormat="1" applyFont="1" applyFill="1" applyBorder="1" applyAlignment="1">
      <alignment horizontal="center" vertical="center" wrapText="1"/>
    </xf>
    <xf numFmtId="4" fontId="0" fillId="0" borderId="17" xfId="0" applyNumberFormat="1" applyFill="1" applyBorder="1" applyAlignment="1">
      <alignment horizontal="center" wrapText="1"/>
    </xf>
    <xf numFmtId="0" fontId="5" fillId="3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0" fillId="3" borderId="0" xfId="0" applyFont="1" applyFill="1" applyAlignment="1">
      <alignment horizontal="center" wrapText="1"/>
    </xf>
    <xf numFmtId="0" fontId="5" fillId="3" borderId="0" xfId="0" applyFont="1" applyFill="1" applyBorder="1" applyAlignment="1">
      <alignment horizontal="right" wrapText="1"/>
    </xf>
    <xf numFmtId="0" fontId="0" fillId="0" borderId="0" xfId="0" applyBorder="1" applyAlignment="1">
      <alignment wrapText="1"/>
    </xf>
    <xf numFmtId="0" fontId="5" fillId="0" borderId="18" xfId="0" applyFont="1" applyBorder="1" applyAlignment="1">
      <alignment wrapText="1"/>
    </xf>
    <xf numFmtId="0" fontId="5" fillId="0" borderId="14" xfId="0" applyFont="1" applyBorder="1" applyAlignment="1">
      <alignment wrapText="1"/>
    </xf>
    <xf numFmtId="4" fontId="1" fillId="0" borderId="12" xfId="0" applyNumberFormat="1" applyFont="1" applyFill="1" applyBorder="1" applyAlignment="1">
      <alignment horizontal="center" vertical="center" wrapText="1"/>
    </xf>
    <xf numFmtId="4" fontId="0" fillId="0" borderId="13" xfId="0" applyNumberFormat="1" applyFill="1" applyBorder="1" applyAlignment="1">
      <alignment horizontal="center" wrapText="1"/>
    </xf>
    <xf numFmtId="4" fontId="4" fillId="3" borderId="15" xfId="0" applyNumberFormat="1" applyFont="1" applyFill="1" applyBorder="1" applyAlignment="1">
      <alignment horizontal="center" vertical="center" wrapText="1"/>
    </xf>
    <xf numFmtId="4" fontId="18" fillId="3" borderId="17" xfId="0" applyNumberFormat="1" applyFont="1" applyFill="1" applyBorder="1" applyAlignment="1">
      <alignment horizontal="center" wrapText="1"/>
    </xf>
    <xf numFmtId="4" fontId="16" fillId="3" borderId="12" xfId="0" applyNumberFormat="1" applyFont="1" applyFill="1" applyBorder="1" applyAlignment="1">
      <alignment horizontal="center" vertical="center" wrapText="1"/>
    </xf>
    <xf numFmtId="4" fontId="15" fillId="3" borderId="13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" fontId="1" fillId="3" borderId="12" xfId="0" applyNumberFormat="1" applyFont="1" applyFill="1" applyBorder="1" applyAlignment="1">
      <alignment horizontal="center" vertical="center" wrapText="1"/>
    </xf>
    <xf numFmtId="4" fontId="0" fillId="3" borderId="13" xfId="0" applyNumberFormat="1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6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wrapText="1"/>
    </xf>
    <xf numFmtId="4" fontId="1" fillId="3" borderId="15" xfId="0" applyNumberFormat="1" applyFont="1" applyFill="1" applyBorder="1" applyAlignment="1">
      <alignment horizontal="center" vertical="center" wrapText="1"/>
    </xf>
    <xf numFmtId="4" fontId="0" fillId="3" borderId="17" xfId="0" applyNumberForma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0" fontId="8" fillId="3" borderId="1" xfId="0" applyFont="1" applyFill="1" applyBorder="1" applyAlignment="1">
      <alignment horizontal="left" wrapText="1"/>
    </xf>
    <xf numFmtId="0" fontId="1" fillId="3" borderId="1" xfId="1" applyFont="1" applyFill="1" applyBorder="1" applyAlignment="1">
      <alignment wrapText="1"/>
    </xf>
    <xf numFmtId="0" fontId="1" fillId="3" borderId="1" xfId="0" applyFont="1" applyFill="1" applyBorder="1" applyAlignment="1">
      <alignment horizontal="left"/>
    </xf>
    <xf numFmtId="0" fontId="2" fillId="3" borderId="1" xfId="1" applyFont="1" applyFill="1" applyBorder="1" applyAlignment="1">
      <alignment wrapText="1"/>
    </xf>
    <xf numFmtId="0" fontId="5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2" fillId="0" borderId="1" xfId="0" applyFont="1" applyFill="1" applyBorder="1" applyAlignment="1"/>
    <xf numFmtId="0" fontId="3" fillId="3" borderId="1" xfId="0" applyFont="1" applyFill="1" applyBorder="1" applyAlignment="1">
      <alignment horizontal="left"/>
    </xf>
    <xf numFmtId="0" fontId="2" fillId="3" borderId="2" xfId="1" applyFont="1" applyFill="1" applyBorder="1" applyAlignment="1"/>
    <xf numFmtId="0" fontId="3" fillId="2" borderId="1" xfId="0" applyFont="1" applyFill="1" applyBorder="1" applyAlignment="1">
      <alignment horizontal="left"/>
    </xf>
  </cellXfs>
  <cellStyles count="2">
    <cellStyle name="Обычный" xfId="0" builtinId="0"/>
    <cellStyle name="Обычный 11" xfId="1"/>
  </cellStyles>
  <dxfs count="0"/>
  <tableStyles count="0" defaultTableStyle="TableStyleMedium9" defaultPivotStyle="PivotStyleLight16"/>
  <colors>
    <mruColors>
      <color rgb="FFCCFFFF"/>
      <color rgb="FFCCFF99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7"/>
  <sheetViews>
    <sheetView view="pageLayout" topLeftCell="A537" zoomScaleNormal="80" workbookViewId="0">
      <selection activeCell="A371" sqref="A371"/>
    </sheetView>
  </sheetViews>
  <sheetFormatPr defaultRowHeight="15.75" x14ac:dyDescent="0.25"/>
  <cols>
    <col min="1" max="1" width="100" style="31" customWidth="1"/>
    <col min="2" max="2" width="5.5703125" style="31" customWidth="1"/>
    <col min="3" max="3" width="5" style="31" customWidth="1"/>
    <col min="4" max="4" width="4.5703125" style="31" customWidth="1"/>
    <col min="5" max="5" width="9.85546875" style="31" customWidth="1"/>
    <col min="6" max="6" width="5.7109375" style="31" customWidth="1"/>
    <col min="7" max="7" width="15" style="52" hidden="1" customWidth="1"/>
    <col min="8" max="8" width="9.85546875" style="56" hidden="1" customWidth="1"/>
    <col min="9" max="9" width="14.7109375" style="52" hidden="1" customWidth="1"/>
    <col min="10" max="10" width="11" style="56" hidden="1" customWidth="1"/>
    <col min="11" max="11" width="17.85546875" style="52" hidden="1" customWidth="1"/>
    <col min="12" max="12" width="10.140625" style="30" hidden="1" customWidth="1"/>
    <col min="13" max="13" width="17.85546875" style="52" hidden="1" customWidth="1"/>
    <col min="14" max="14" width="10.85546875" style="30" hidden="1" customWidth="1"/>
    <col min="15" max="15" width="15.5703125" style="74" hidden="1" customWidth="1"/>
    <col min="16" max="16" width="10.5703125" style="30" hidden="1" customWidth="1"/>
    <col min="17" max="17" width="12.5703125" style="74" customWidth="1"/>
    <col min="18" max="16384" width="9.140625" style="30"/>
  </cols>
  <sheetData>
    <row r="1" spans="1:17" x14ac:dyDescent="0.25">
      <c r="A1" s="92" t="s">
        <v>617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2" spans="1:17" x14ac:dyDescent="0.25">
      <c r="A2" s="92" t="s">
        <v>0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</row>
    <row r="3" spans="1:17" x14ac:dyDescent="0.25">
      <c r="A3" s="92" t="s">
        <v>125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</row>
    <row r="4" spans="1:17" x14ac:dyDescent="0.25">
      <c r="A4" s="92" t="s">
        <v>622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</row>
    <row r="5" spans="1:17" ht="7.5" customHeight="1" x14ac:dyDescent="0.25">
      <c r="A5" s="92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</row>
    <row r="6" spans="1:17" ht="12.75" customHeight="1" x14ac:dyDescent="0.25">
      <c r="A6" s="92" t="s">
        <v>335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</row>
    <row r="7" spans="1:17" x14ac:dyDescent="0.25">
      <c r="A7" s="92" t="s">
        <v>0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</row>
    <row r="8" spans="1:17" x14ac:dyDescent="0.25">
      <c r="A8" s="92" t="s">
        <v>125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</row>
    <row r="9" spans="1:17" x14ac:dyDescent="0.25">
      <c r="A9" s="92" t="s">
        <v>623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</row>
    <row r="10" spans="1:17" ht="5.25" customHeight="1" x14ac:dyDescent="0.25">
      <c r="A10" s="92"/>
      <c r="B10" s="92"/>
      <c r="C10" s="92"/>
      <c r="D10" s="92"/>
      <c r="E10" s="92"/>
      <c r="F10" s="92"/>
      <c r="G10" s="92"/>
      <c r="I10" s="30"/>
      <c r="K10" s="31"/>
      <c r="M10" s="31"/>
      <c r="O10" s="70"/>
      <c r="Q10" s="70"/>
    </row>
    <row r="11" spans="1:17" ht="36.75" customHeight="1" x14ac:dyDescent="0.3">
      <c r="A11" s="94" t="s">
        <v>560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</row>
    <row r="12" spans="1:17" ht="16.5" thickBot="1" x14ac:dyDescent="0.3">
      <c r="A12" s="95" t="s">
        <v>1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3"/>
      <c r="Q12" s="93"/>
    </row>
    <row r="13" spans="1:17" ht="15.75" customHeight="1" x14ac:dyDescent="0.25">
      <c r="A13" s="109" t="s">
        <v>4</v>
      </c>
      <c r="B13" s="111" t="s">
        <v>9</v>
      </c>
      <c r="C13" s="111" t="s">
        <v>10</v>
      </c>
      <c r="D13" s="111" t="s">
        <v>11</v>
      </c>
      <c r="E13" s="111" t="s">
        <v>12</v>
      </c>
      <c r="F13" s="111" t="s">
        <v>13</v>
      </c>
      <c r="G13" s="107" t="s">
        <v>2</v>
      </c>
      <c r="H13" s="103" t="s">
        <v>443</v>
      </c>
      <c r="I13" s="107" t="s">
        <v>2</v>
      </c>
      <c r="J13" s="103" t="s">
        <v>444</v>
      </c>
      <c r="K13" s="113" t="s">
        <v>2</v>
      </c>
      <c r="L13" s="101" t="s">
        <v>456</v>
      </c>
      <c r="M13" s="113" t="s">
        <v>2</v>
      </c>
      <c r="N13" s="101" t="s">
        <v>456</v>
      </c>
      <c r="O13" s="99" t="s">
        <v>2</v>
      </c>
      <c r="P13" s="97" t="s">
        <v>456</v>
      </c>
      <c r="Q13" s="90" t="s">
        <v>2</v>
      </c>
    </row>
    <row r="14" spans="1:17" ht="11.25" customHeight="1" thickBot="1" x14ac:dyDescent="0.3">
      <c r="A14" s="110"/>
      <c r="B14" s="112"/>
      <c r="C14" s="112"/>
      <c r="D14" s="112"/>
      <c r="E14" s="112"/>
      <c r="F14" s="112"/>
      <c r="G14" s="108"/>
      <c r="H14" s="104"/>
      <c r="I14" s="108"/>
      <c r="J14" s="104"/>
      <c r="K14" s="114"/>
      <c r="L14" s="102"/>
      <c r="M14" s="114"/>
      <c r="N14" s="102"/>
      <c r="O14" s="100"/>
      <c r="P14" s="98"/>
      <c r="Q14" s="91"/>
    </row>
    <row r="15" spans="1:17" ht="9.75" customHeight="1" x14ac:dyDescent="0.25">
      <c r="A15" s="59">
        <v>1</v>
      </c>
      <c r="B15" s="60">
        <v>2</v>
      </c>
      <c r="C15" s="59">
        <v>3</v>
      </c>
      <c r="D15" s="59">
        <v>4</v>
      </c>
      <c r="E15" s="59">
        <v>5</v>
      </c>
      <c r="F15" s="59">
        <v>6</v>
      </c>
      <c r="G15" s="59">
        <v>7</v>
      </c>
      <c r="I15" s="59">
        <v>7</v>
      </c>
      <c r="K15" s="59">
        <v>7</v>
      </c>
      <c r="M15" s="59">
        <v>7</v>
      </c>
      <c r="O15" s="71">
        <v>7</v>
      </c>
      <c r="Q15" s="71">
        <v>7</v>
      </c>
    </row>
    <row r="16" spans="1:17" ht="19.5" customHeight="1" x14ac:dyDescent="0.25">
      <c r="A16" s="120" t="s">
        <v>203</v>
      </c>
      <c r="B16" s="35" t="s">
        <v>6</v>
      </c>
      <c r="C16" s="35"/>
      <c r="D16" s="35"/>
      <c r="E16" s="35"/>
      <c r="F16" s="35"/>
      <c r="G16" s="44" t="e">
        <f>G17+G60+G67+G75+G90+G113+G133+G137+G152</f>
        <v>#REF!</v>
      </c>
      <c r="I16" s="44" t="e">
        <f>I17+I60+I67+I75+I90+I113+I133+I137+I152</f>
        <v>#REF!</v>
      </c>
      <c r="K16" s="44" t="e">
        <f>K17+K60+K67+K75+K90+K113+K133+K137+K152+K79</f>
        <v>#REF!</v>
      </c>
      <c r="L16" s="56"/>
      <c r="M16" s="63">
        <f>M17+M60+M67+M75+M90+M113+M133+M137+M152+M79</f>
        <v>61195.219999999994</v>
      </c>
      <c r="N16" s="56"/>
      <c r="O16" s="72">
        <f>O17+O60+O67+O75+O90+O113+O133+O137+O152+O79</f>
        <v>62838.69999999999</v>
      </c>
      <c r="Q16" s="72">
        <f>Q17+Q60+Q67+Q75+Q90+Q113+Q133+Q137+Q152+Q79</f>
        <v>76002.689999999988</v>
      </c>
    </row>
    <row r="17" spans="1:17" x14ac:dyDescent="0.25">
      <c r="A17" s="36" t="s">
        <v>14</v>
      </c>
      <c r="B17" s="35"/>
      <c r="C17" s="35" t="s">
        <v>15</v>
      </c>
      <c r="D17" s="35"/>
      <c r="E17" s="35"/>
      <c r="F17" s="35"/>
      <c r="G17" s="44">
        <f>G18+G30+G37</f>
        <v>36501.300000000003</v>
      </c>
      <c r="I17" s="44">
        <f>I18+I30+I37</f>
        <v>36452.089999999997</v>
      </c>
      <c r="K17" s="44">
        <f>K18+K30+K37</f>
        <v>36012.089999999997</v>
      </c>
      <c r="L17" s="56"/>
      <c r="M17" s="44">
        <f>M18+M30+M37</f>
        <v>33322.300000000003</v>
      </c>
      <c r="N17" s="56"/>
      <c r="O17" s="72">
        <f>O18+O30+O37</f>
        <v>33234.22</v>
      </c>
      <c r="Q17" s="72">
        <f>Q18+Q30+Q37</f>
        <v>33234.22</v>
      </c>
    </row>
    <row r="18" spans="1:17" ht="30" customHeight="1" x14ac:dyDescent="0.25">
      <c r="A18" s="37" t="s">
        <v>200</v>
      </c>
      <c r="B18" s="35"/>
      <c r="C18" s="35" t="s">
        <v>15</v>
      </c>
      <c r="D18" s="35" t="s">
        <v>24</v>
      </c>
      <c r="E18" s="35"/>
      <c r="F18" s="35"/>
      <c r="G18" s="44">
        <f>G19+G27</f>
        <v>26694</v>
      </c>
      <c r="I18" s="44">
        <f>I19+I27</f>
        <v>26694</v>
      </c>
      <c r="K18" s="44">
        <f>K19+K27</f>
        <v>26694</v>
      </c>
      <c r="L18" s="56"/>
      <c r="M18" s="44">
        <f>M19+M27</f>
        <v>27490.3</v>
      </c>
      <c r="N18" s="56"/>
      <c r="O18" s="72">
        <f>O19+O27</f>
        <v>27490.3</v>
      </c>
      <c r="Q18" s="72">
        <f>Q19+Q27</f>
        <v>27490.3</v>
      </c>
    </row>
    <row r="19" spans="1:17" ht="30.75" customHeight="1" x14ac:dyDescent="0.25">
      <c r="A19" s="19" t="s">
        <v>201</v>
      </c>
      <c r="B19" s="38"/>
      <c r="C19" s="38" t="s">
        <v>15</v>
      </c>
      <c r="D19" s="38" t="s">
        <v>24</v>
      </c>
      <c r="E19" s="38" t="s">
        <v>21</v>
      </c>
      <c r="F19" s="38"/>
      <c r="G19" s="43">
        <f>G20</f>
        <v>26694</v>
      </c>
      <c r="I19" s="43">
        <f>I20</f>
        <v>26694</v>
      </c>
      <c r="K19" s="43">
        <f>K20</f>
        <v>26694</v>
      </c>
      <c r="L19" s="56"/>
      <c r="M19" s="43">
        <f>M20</f>
        <v>27490.3</v>
      </c>
      <c r="N19" s="56"/>
      <c r="O19" s="73">
        <f>O20</f>
        <v>27490.3</v>
      </c>
      <c r="Q19" s="73">
        <f>Q20</f>
        <v>27490.3</v>
      </c>
    </row>
    <row r="20" spans="1:17" x14ac:dyDescent="0.25">
      <c r="A20" s="39" t="s">
        <v>22</v>
      </c>
      <c r="B20" s="38"/>
      <c r="C20" s="38" t="s">
        <v>15</v>
      </c>
      <c r="D20" s="38" t="s">
        <v>24</v>
      </c>
      <c r="E20" s="38" t="s">
        <v>23</v>
      </c>
      <c r="F20" s="38"/>
      <c r="G20" s="43">
        <f>SUM(G21:G26)</f>
        <v>26694</v>
      </c>
      <c r="I20" s="43">
        <f>SUM(I21:I26)</f>
        <v>26694</v>
      </c>
      <c r="K20" s="43">
        <f>SUM(K21:K26)</f>
        <v>26694</v>
      </c>
      <c r="L20" s="56"/>
      <c r="M20" s="43">
        <f>SUM(M21:M26)</f>
        <v>27490.3</v>
      </c>
      <c r="N20" s="56"/>
      <c r="O20" s="73">
        <f>SUM(O21:O26)</f>
        <v>27490.3</v>
      </c>
      <c r="Q20" s="73">
        <f>SUM(Q21:Q26)</f>
        <v>27490.3</v>
      </c>
    </row>
    <row r="21" spans="1:17" x14ac:dyDescent="0.25">
      <c r="A21" s="19" t="s">
        <v>204</v>
      </c>
      <c r="B21" s="38"/>
      <c r="C21" s="38" t="s">
        <v>15</v>
      </c>
      <c r="D21" s="38" t="s">
        <v>24</v>
      </c>
      <c r="E21" s="38" t="s">
        <v>23</v>
      </c>
      <c r="F21" s="38" t="s">
        <v>205</v>
      </c>
      <c r="G21" s="43">
        <f>19589.7+4971.3</f>
        <v>24561</v>
      </c>
      <c r="I21" s="43">
        <f t="shared" ref="I21:I26" si="0">G21+H21</f>
        <v>24561</v>
      </c>
      <c r="K21" s="43">
        <f t="shared" ref="K21:M26" si="1">I21+J21</f>
        <v>24561</v>
      </c>
      <c r="L21" s="56">
        <f>-173.9+230.9+241.6+563.4</f>
        <v>862</v>
      </c>
      <c r="M21" s="43">
        <f t="shared" si="1"/>
        <v>25423</v>
      </c>
      <c r="N21" s="56"/>
      <c r="O21" s="73">
        <f t="shared" ref="O21:Q26" si="2">M21+N21</f>
        <v>25423</v>
      </c>
      <c r="Q21" s="73">
        <f t="shared" si="2"/>
        <v>25423</v>
      </c>
    </row>
    <row r="22" spans="1:17" ht="15" customHeight="1" x14ac:dyDescent="0.25">
      <c r="A22" s="19" t="s">
        <v>206</v>
      </c>
      <c r="B22" s="38"/>
      <c r="C22" s="38" t="s">
        <v>15</v>
      </c>
      <c r="D22" s="38" t="s">
        <v>24</v>
      </c>
      <c r="E22" s="38" t="s">
        <v>23</v>
      </c>
      <c r="F22" s="38" t="s">
        <v>207</v>
      </c>
      <c r="G22" s="43">
        <v>50</v>
      </c>
      <c r="I22" s="43">
        <f t="shared" si="0"/>
        <v>50</v>
      </c>
      <c r="K22" s="43">
        <f t="shared" si="1"/>
        <v>50</v>
      </c>
      <c r="L22" s="56">
        <v>192.2</v>
      </c>
      <c r="M22" s="43">
        <f t="shared" si="1"/>
        <v>242.2</v>
      </c>
      <c r="N22" s="56"/>
      <c r="O22" s="73">
        <f t="shared" si="2"/>
        <v>242.2</v>
      </c>
      <c r="Q22" s="73">
        <f t="shared" si="2"/>
        <v>242.2</v>
      </c>
    </row>
    <row r="23" spans="1:17" ht="17.25" customHeight="1" x14ac:dyDescent="0.25">
      <c r="A23" s="19" t="s">
        <v>208</v>
      </c>
      <c r="B23" s="38"/>
      <c r="C23" s="38" t="s">
        <v>15</v>
      </c>
      <c r="D23" s="38" t="s">
        <v>24</v>
      </c>
      <c r="E23" s="38" t="s">
        <v>23</v>
      </c>
      <c r="F23" s="38" t="s">
        <v>209</v>
      </c>
      <c r="G23" s="43">
        <f>340+15</f>
        <v>355</v>
      </c>
      <c r="I23" s="43">
        <f>G23+H23</f>
        <v>355</v>
      </c>
      <c r="J23" s="56">
        <v>304.8</v>
      </c>
      <c r="K23" s="43">
        <f t="shared" si="1"/>
        <v>659.8</v>
      </c>
      <c r="L23" s="56"/>
      <c r="M23" s="43">
        <f t="shared" si="1"/>
        <v>659.8</v>
      </c>
      <c r="N23" s="56"/>
      <c r="O23" s="73">
        <f t="shared" si="2"/>
        <v>659.8</v>
      </c>
      <c r="Q23" s="73">
        <f t="shared" si="2"/>
        <v>659.8</v>
      </c>
    </row>
    <row r="24" spans="1:17" ht="15" customHeight="1" x14ac:dyDescent="0.25">
      <c r="A24" s="19" t="s">
        <v>224</v>
      </c>
      <c r="B24" s="38"/>
      <c r="C24" s="38" t="s">
        <v>15</v>
      </c>
      <c r="D24" s="38" t="s">
        <v>24</v>
      </c>
      <c r="E24" s="38" t="s">
        <v>23</v>
      </c>
      <c r="F24" s="38" t="s">
        <v>210</v>
      </c>
      <c r="G24" s="43">
        <f>40+150+200+798+100+100+320</f>
        <v>1708</v>
      </c>
      <c r="I24" s="43">
        <f t="shared" si="0"/>
        <v>1708</v>
      </c>
      <c r="J24" s="56">
        <v>-304.8</v>
      </c>
      <c r="K24" s="43">
        <f t="shared" si="1"/>
        <v>1403.2</v>
      </c>
      <c r="L24" s="56">
        <f>-18.3-239.6</f>
        <v>-257.89999999999998</v>
      </c>
      <c r="M24" s="43">
        <f t="shared" si="1"/>
        <v>1145.3000000000002</v>
      </c>
      <c r="N24" s="56"/>
      <c r="O24" s="73">
        <f t="shared" si="2"/>
        <v>1145.3000000000002</v>
      </c>
      <c r="Q24" s="73">
        <f t="shared" si="2"/>
        <v>1145.3000000000002</v>
      </c>
    </row>
    <row r="25" spans="1:17" ht="15" customHeight="1" x14ac:dyDescent="0.25">
      <c r="A25" s="47" t="s">
        <v>318</v>
      </c>
      <c r="B25" s="38"/>
      <c r="C25" s="38" t="s">
        <v>15</v>
      </c>
      <c r="D25" s="38" t="s">
        <v>24</v>
      </c>
      <c r="E25" s="38" t="s">
        <v>23</v>
      </c>
      <c r="F25" s="38" t="s">
        <v>317</v>
      </c>
      <c r="G25" s="43"/>
      <c r="I25" s="43">
        <f t="shared" si="0"/>
        <v>0</v>
      </c>
      <c r="J25" s="56">
        <v>10</v>
      </c>
      <c r="K25" s="43">
        <f t="shared" si="1"/>
        <v>10</v>
      </c>
      <c r="L25" s="56"/>
      <c r="M25" s="43">
        <f t="shared" si="1"/>
        <v>10</v>
      </c>
      <c r="N25" s="56"/>
      <c r="O25" s="73">
        <f t="shared" si="2"/>
        <v>10</v>
      </c>
      <c r="Q25" s="73">
        <f t="shared" si="2"/>
        <v>10</v>
      </c>
    </row>
    <row r="26" spans="1:17" ht="15" customHeight="1" x14ac:dyDescent="0.25">
      <c r="A26" s="47" t="s">
        <v>300</v>
      </c>
      <c r="B26" s="38"/>
      <c r="C26" s="38" t="s">
        <v>15</v>
      </c>
      <c r="D26" s="38" t="s">
        <v>24</v>
      </c>
      <c r="E26" s="38" t="s">
        <v>23</v>
      </c>
      <c r="F26" s="38" t="s">
        <v>299</v>
      </c>
      <c r="G26" s="43">
        <v>20</v>
      </c>
      <c r="I26" s="43">
        <f t="shared" si="0"/>
        <v>20</v>
      </c>
      <c r="J26" s="56">
        <v>-10</v>
      </c>
      <c r="K26" s="43">
        <f t="shared" si="1"/>
        <v>10</v>
      </c>
      <c r="L26" s="56"/>
      <c r="M26" s="43">
        <f t="shared" si="1"/>
        <v>10</v>
      </c>
      <c r="N26" s="56"/>
      <c r="O26" s="73">
        <f t="shared" si="2"/>
        <v>10</v>
      </c>
      <c r="Q26" s="73">
        <f t="shared" si="2"/>
        <v>10</v>
      </c>
    </row>
    <row r="27" spans="1:17" ht="31.5" hidden="1" x14ac:dyDescent="0.25">
      <c r="A27" s="19" t="s">
        <v>158</v>
      </c>
      <c r="B27" s="38"/>
      <c r="C27" s="38" t="s">
        <v>15</v>
      </c>
      <c r="D27" s="38" t="s">
        <v>24</v>
      </c>
      <c r="E27" s="38" t="s">
        <v>159</v>
      </c>
      <c r="F27" s="38"/>
      <c r="G27" s="43">
        <f>G28</f>
        <v>0</v>
      </c>
      <c r="I27" s="43">
        <f>I28</f>
        <v>0</v>
      </c>
      <c r="K27" s="43">
        <f>K28</f>
        <v>0</v>
      </c>
      <c r="L27" s="56"/>
      <c r="M27" s="43">
        <f>M28</f>
        <v>0</v>
      </c>
      <c r="N27" s="56"/>
      <c r="O27" s="73">
        <f>O28</f>
        <v>0</v>
      </c>
      <c r="Q27" s="73">
        <f>Q28</f>
        <v>0</v>
      </c>
    </row>
    <row r="28" spans="1:17" hidden="1" x14ac:dyDescent="0.25">
      <c r="A28" s="19" t="s">
        <v>204</v>
      </c>
      <c r="B28" s="38"/>
      <c r="C28" s="38" t="s">
        <v>15</v>
      </c>
      <c r="D28" s="38" t="s">
        <v>24</v>
      </c>
      <c r="E28" s="38" t="s">
        <v>159</v>
      </c>
      <c r="F28" s="38" t="s">
        <v>205</v>
      </c>
      <c r="G28" s="43"/>
      <c r="I28" s="43">
        <f>G28+H28</f>
        <v>0</v>
      </c>
      <c r="K28" s="43">
        <f>I28+J28</f>
        <v>0</v>
      </c>
      <c r="L28" s="56"/>
      <c r="M28" s="43">
        <f>K28+L28</f>
        <v>0</v>
      </c>
      <c r="N28" s="56"/>
      <c r="O28" s="73">
        <f>M28+N28</f>
        <v>0</v>
      </c>
      <c r="Q28" s="73">
        <f>O28+P28</f>
        <v>0</v>
      </c>
    </row>
    <row r="29" spans="1:17" ht="30.75" hidden="1" customHeight="1" x14ac:dyDescent="0.25">
      <c r="A29" s="19" t="s">
        <v>206</v>
      </c>
      <c r="B29" s="38"/>
      <c r="C29" s="38" t="s">
        <v>15</v>
      </c>
      <c r="D29" s="38" t="s">
        <v>24</v>
      </c>
      <c r="E29" s="38" t="s">
        <v>159</v>
      </c>
      <c r="F29" s="38" t="s">
        <v>207</v>
      </c>
      <c r="G29" s="43">
        <v>0</v>
      </c>
      <c r="I29" s="43">
        <f>G29+H29</f>
        <v>0</v>
      </c>
      <c r="K29" s="43">
        <f>I29+J29</f>
        <v>0</v>
      </c>
      <c r="L29" s="56"/>
      <c r="M29" s="43">
        <f>K29+L29</f>
        <v>0</v>
      </c>
      <c r="N29" s="56"/>
      <c r="O29" s="73">
        <f>M29+N29</f>
        <v>0</v>
      </c>
      <c r="Q29" s="73">
        <f>O29+P29</f>
        <v>0</v>
      </c>
    </row>
    <row r="30" spans="1:17" x14ac:dyDescent="0.25">
      <c r="A30" s="40" t="s">
        <v>26</v>
      </c>
      <c r="B30" s="35"/>
      <c r="C30" s="35" t="s">
        <v>15</v>
      </c>
      <c r="D30" s="35" t="s">
        <v>107</v>
      </c>
      <c r="E30" s="35"/>
      <c r="F30" s="35"/>
      <c r="G30" s="44">
        <f>G32+G33+G35</f>
        <v>1670</v>
      </c>
      <c r="I30" s="44">
        <f>I32+I33+I35</f>
        <v>1670</v>
      </c>
      <c r="K30" s="44">
        <f>K32+K33+K35</f>
        <v>1670</v>
      </c>
      <c r="L30" s="56"/>
      <c r="M30" s="44">
        <f>M32+M33+M35</f>
        <v>1638.45</v>
      </c>
      <c r="N30" s="56"/>
      <c r="O30" s="72">
        <f>O32+O33+O35</f>
        <v>1638.45</v>
      </c>
      <c r="Q30" s="72">
        <f>Q32+Q33+Q35</f>
        <v>1638.45</v>
      </c>
    </row>
    <row r="31" spans="1:17" x14ac:dyDescent="0.25">
      <c r="A31" s="19" t="s">
        <v>138</v>
      </c>
      <c r="B31" s="38"/>
      <c r="C31" s="38" t="s">
        <v>15</v>
      </c>
      <c r="D31" s="38" t="s">
        <v>107</v>
      </c>
      <c r="E31" s="38" t="s">
        <v>370</v>
      </c>
      <c r="F31" s="38"/>
      <c r="G31" s="43">
        <f>G32</f>
        <v>1000</v>
      </c>
      <c r="I31" s="43">
        <f>I32</f>
        <v>1000</v>
      </c>
      <c r="K31" s="43">
        <f>K32</f>
        <v>1000</v>
      </c>
      <c r="L31" s="56"/>
      <c r="M31" s="43">
        <f>M32</f>
        <v>977.45</v>
      </c>
      <c r="N31" s="56"/>
      <c r="O31" s="73">
        <f>O32</f>
        <v>977.45</v>
      </c>
      <c r="Q31" s="73">
        <f>Q32</f>
        <v>977.45</v>
      </c>
    </row>
    <row r="32" spans="1:17" x14ac:dyDescent="0.25">
      <c r="A32" s="19" t="s">
        <v>211</v>
      </c>
      <c r="B32" s="38"/>
      <c r="C32" s="38" t="s">
        <v>15</v>
      </c>
      <c r="D32" s="38" t="s">
        <v>107</v>
      </c>
      <c r="E32" s="38" t="s">
        <v>370</v>
      </c>
      <c r="F32" s="38" t="s">
        <v>212</v>
      </c>
      <c r="G32" s="43">
        <v>1000</v>
      </c>
      <c r="I32" s="43">
        <f>G32+H32</f>
        <v>1000</v>
      </c>
      <c r="K32" s="43">
        <f>I32+J32</f>
        <v>1000</v>
      </c>
      <c r="L32" s="56">
        <v>-22.55</v>
      </c>
      <c r="M32" s="43">
        <f>K32+L32</f>
        <v>977.45</v>
      </c>
      <c r="N32" s="56"/>
      <c r="O32" s="73">
        <f>M32+N32</f>
        <v>977.45</v>
      </c>
      <c r="Q32" s="73">
        <f>O32+P32</f>
        <v>977.45</v>
      </c>
    </row>
    <row r="33" spans="1:17" ht="31.5" x14ac:dyDescent="0.25">
      <c r="A33" s="47" t="s">
        <v>369</v>
      </c>
      <c r="B33" s="38"/>
      <c r="C33" s="38" t="s">
        <v>15</v>
      </c>
      <c r="D33" s="38" t="s">
        <v>107</v>
      </c>
      <c r="E33" s="38" t="s">
        <v>371</v>
      </c>
      <c r="F33" s="38"/>
      <c r="G33" s="43">
        <f>G34</f>
        <v>500</v>
      </c>
      <c r="I33" s="43">
        <f>I34</f>
        <v>500</v>
      </c>
      <c r="K33" s="43">
        <f>K34</f>
        <v>500</v>
      </c>
      <c r="L33" s="56"/>
      <c r="M33" s="43">
        <f>M34</f>
        <v>491</v>
      </c>
      <c r="N33" s="56"/>
      <c r="O33" s="73">
        <f>O34</f>
        <v>491</v>
      </c>
      <c r="Q33" s="73">
        <f>Q34</f>
        <v>491</v>
      </c>
    </row>
    <row r="34" spans="1:17" x14ac:dyDescent="0.25">
      <c r="A34" s="19" t="s">
        <v>211</v>
      </c>
      <c r="B34" s="38"/>
      <c r="C34" s="38" t="s">
        <v>15</v>
      </c>
      <c r="D34" s="38" t="s">
        <v>107</v>
      </c>
      <c r="E34" s="38" t="s">
        <v>371</v>
      </c>
      <c r="F34" s="38" t="s">
        <v>212</v>
      </c>
      <c r="G34" s="43">
        <v>500</v>
      </c>
      <c r="I34" s="43">
        <f>G34+H34</f>
        <v>500</v>
      </c>
      <c r="K34" s="43">
        <f>I34+J34</f>
        <v>500</v>
      </c>
      <c r="L34" s="56">
        <v>-9</v>
      </c>
      <c r="M34" s="43">
        <f>K34+L34</f>
        <v>491</v>
      </c>
      <c r="N34" s="56"/>
      <c r="O34" s="73">
        <f>M34+N34</f>
        <v>491</v>
      </c>
      <c r="Q34" s="73">
        <f>O34+P34</f>
        <v>491</v>
      </c>
    </row>
    <row r="35" spans="1:17" x14ac:dyDescent="0.25">
      <c r="A35" s="13" t="s">
        <v>162</v>
      </c>
      <c r="B35" s="38"/>
      <c r="C35" s="38" t="s">
        <v>15</v>
      </c>
      <c r="D35" s="38" t="s">
        <v>107</v>
      </c>
      <c r="E35" s="38" t="s">
        <v>372</v>
      </c>
      <c r="F35" s="38"/>
      <c r="G35" s="43">
        <f>G36</f>
        <v>170</v>
      </c>
      <c r="I35" s="43">
        <f>I36</f>
        <v>170</v>
      </c>
      <c r="K35" s="43">
        <f>K36</f>
        <v>170</v>
      </c>
      <c r="L35" s="56"/>
      <c r="M35" s="43">
        <f>M36</f>
        <v>170</v>
      </c>
      <c r="N35" s="56"/>
      <c r="O35" s="73">
        <f>O36</f>
        <v>170</v>
      </c>
      <c r="Q35" s="73">
        <f>Q36</f>
        <v>170</v>
      </c>
    </row>
    <row r="36" spans="1:17" x14ac:dyDescent="0.25">
      <c r="A36" s="19" t="s">
        <v>211</v>
      </c>
      <c r="B36" s="38"/>
      <c r="C36" s="38" t="s">
        <v>15</v>
      </c>
      <c r="D36" s="38" t="s">
        <v>107</v>
      </c>
      <c r="E36" s="38" t="s">
        <v>373</v>
      </c>
      <c r="F36" s="38" t="s">
        <v>212</v>
      </c>
      <c r="G36" s="43">
        <v>170</v>
      </c>
      <c r="I36" s="43">
        <f>G36+H36</f>
        <v>170</v>
      </c>
      <c r="K36" s="43">
        <f>I36+J36</f>
        <v>170</v>
      </c>
      <c r="L36" s="56"/>
      <c r="M36" s="43">
        <f>K36+L36</f>
        <v>170</v>
      </c>
      <c r="N36" s="56"/>
      <c r="O36" s="73">
        <f>M36+N36</f>
        <v>170</v>
      </c>
      <c r="Q36" s="73">
        <f>O36+P36</f>
        <v>170</v>
      </c>
    </row>
    <row r="37" spans="1:17" x14ac:dyDescent="0.25">
      <c r="A37" s="40" t="s">
        <v>29</v>
      </c>
      <c r="B37" s="35"/>
      <c r="C37" s="35" t="s">
        <v>15</v>
      </c>
      <c r="D37" s="35" t="s">
        <v>185</v>
      </c>
      <c r="E37" s="35"/>
      <c r="F37" s="35"/>
      <c r="G37" s="44">
        <f>G38+G43+G46+G52+G54+G56+G58</f>
        <v>8137.3</v>
      </c>
      <c r="I37" s="44">
        <f>I38+I43+I46+I52+I54+I56+I58+I49</f>
        <v>8088.09</v>
      </c>
      <c r="K37" s="44">
        <f>K38+K43+K46+K54+K56+K58+K49</f>
        <v>7648.09</v>
      </c>
      <c r="L37" s="56"/>
      <c r="M37" s="44">
        <f>M38+M43+M46+M54+M56+M58+M49</f>
        <v>4193.55</v>
      </c>
      <c r="N37" s="56"/>
      <c r="O37" s="72">
        <f>O38+O43+O46+O54+O56+O58+O49</f>
        <v>4105.47</v>
      </c>
      <c r="Q37" s="72">
        <f>Q38+Q43+Q46+Q54+Q56+Q58+Q49</f>
        <v>4105.47</v>
      </c>
    </row>
    <row r="38" spans="1:17" ht="18" customHeight="1" x14ac:dyDescent="0.25">
      <c r="A38" s="47" t="s">
        <v>374</v>
      </c>
      <c r="B38" s="38"/>
      <c r="C38" s="38" t="s">
        <v>15</v>
      </c>
      <c r="D38" s="38" t="s">
        <v>185</v>
      </c>
      <c r="E38" s="38" t="s">
        <v>213</v>
      </c>
      <c r="F38" s="38"/>
      <c r="G38" s="43">
        <f>G39+G41+G42</f>
        <v>602.5</v>
      </c>
      <c r="I38" s="43">
        <f>I39+I41+I42</f>
        <v>602.5</v>
      </c>
      <c r="K38" s="43">
        <f>K39+K41+K42</f>
        <v>602.5</v>
      </c>
      <c r="L38" s="56"/>
      <c r="M38" s="43">
        <f>M39+M41+M42</f>
        <v>602.5</v>
      </c>
      <c r="N38" s="56"/>
      <c r="O38" s="73">
        <f>O39+O41+O42</f>
        <v>602.5</v>
      </c>
      <c r="Q38" s="73">
        <f>Q39+Q41+Q42</f>
        <v>602.5</v>
      </c>
    </row>
    <row r="39" spans="1:17" x14ac:dyDescent="0.25">
      <c r="A39" s="19" t="s">
        <v>204</v>
      </c>
      <c r="B39" s="38"/>
      <c r="C39" s="38" t="s">
        <v>15</v>
      </c>
      <c r="D39" s="38" t="s">
        <v>185</v>
      </c>
      <c r="E39" s="38" t="s">
        <v>213</v>
      </c>
      <c r="F39" s="38" t="s">
        <v>205</v>
      </c>
      <c r="G39" s="43">
        <f>454.4+137.3</f>
        <v>591.70000000000005</v>
      </c>
      <c r="I39" s="43">
        <f>G39+H39</f>
        <v>591.70000000000005</v>
      </c>
      <c r="K39" s="43">
        <f>I39+J39</f>
        <v>591.70000000000005</v>
      </c>
      <c r="L39" s="56"/>
      <c r="M39" s="43">
        <f>K39+L39</f>
        <v>591.70000000000005</v>
      </c>
      <c r="N39" s="56"/>
      <c r="O39" s="73">
        <f>M39+N39</f>
        <v>591.70000000000005</v>
      </c>
      <c r="Q39" s="73">
        <f>O39+P39</f>
        <v>591.70000000000005</v>
      </c>
    </row>
    <row r="40" spans="1:17" ht="31.5" hidden="1" customHeight="1" x14ac:dyDescent="0.25">
      <c r="A40" s="19" t="s">
        <v>206</v>
      </c>
      <c r="B40" s="38"/>
      <c r="C40" s="38" t="s">
        <v>15</v>
      </c>
      <c r="D40" s="38" t="s">
        <v>185</v>
      </c>
      <c r="E40" s="38" t="s">
        <v>213</v>
      </c>
      <c r="F40" s="38" t="s">
        <v>207</v>
      </c>
      <c r="G40" s="43">
        <v>0</v>
      </c>
      <c r="I40" s="43">
        <f>G40+H40</f>
        <v>0</v>
      </c>
      <c r="K40" s="43">
        <f>I40+J40</f>
        <v>0</v>
      </c>
      <c r="L40" s="56"/>
      <c r="M40" s="43">
        <f>K40+L40</f>
        <v>0</v>
      </c>
      <c r="N40" s="56"/>
      <c r="O40" s="73">
        <f>M40+N40</f>
        <v>0</v>
      </c>
      <c r="Q40" s="73">
        <f>O40+P40</f>
        <v>0</v>
      </c>
    </row>
    <row r="41" spans="1:17" ht="15.75" customHeight="1" x14ac:dyDescent="0.25">
      <c r="A41" s="19" t="s">
        <v>208</v>
      </c>
      <c r="B41" s="38"/>
      <c r="C41" s="38" t="s">
        <v>15</v>
      </c>
      <c r="D41" s="38" t="s">
        <v>185</v>
      </c>
      <c r="E41" s="38" t="s">
        <v>213</v>
      </c>
      <c r="F41" s="38" t="s">
        <v>209</v>
      </c>
      <c r="G41" s="43">
        <v>9.8000000000000007</v>
      </c>
      <c r="I41" s="43">
        <f>G41+H41</f>
        <v>9.8000000000000007</v>
      </c>
      <c r="K41" s="43">
        <f>I41+J41</f>
        <v>9.8000000000000007</v>
      </c>
      <c r="L41" s="56"/>
      <c r="M41" s="43">
        <f>K41+L41</f>
        <v>9.8000000000000007</v>
      </c>
      <c r="N41" s="56"/>
      <c r="O41" s="73">
        <f>M41+N41</f>
        <v>9.8000000000000007</v>
      </c>
      <c r="Q41" s="73">
        <f>O41+P41</f>
        <v>9.8000000000000007</v>
      </c>
    </row>
    <row r="42" spans="1:17" x14ac:dyDescent="0.25">
      <c r="A42" s="19" t="s">
        <v>224</v>
      </c>
      <c r="B42" s="38"/>
      <c r="C42" s="38" t="s">
        <v>15</v>
      </c>
      <c r="D42" s="38" t="s">
        <v>185</v>
      </c>
      <c r="E42" s="38" t="s">
        <v>213</v>
      </c>
      <c r="F42" s="38" t="s">
        <v>210</v>
      </c>
      <c r="G42" s="43">
        <v>1</v>
      </c>
      <c r="I42" s="43">
        <f>G42+H42</f>
        <v>1</v>
      </c>
      <c r="K42" s="43">
        <f>I42+J42</f>
        <v>1</v>
      </c>
      <c r="L42" s="56"/>
      <c r="M42" s="43">
        <f>K42+L42</f>
        <v>1</v>
      </c>
      <c r="N42" s="56"/>
      <c r="O42" s="73">
        <f>M42+N42</f>
        <v>1</v>
      </c>
      <c r="Q42" s="73">
        <f>O42+P42</f>
        <v>1</v>
      </c>
    </row>
    <row r="43" spans="1:17" ht="32.25" customHeight="1" x14ac:dyDescent="0.25">
      <c r="A43" s="47" t="s">
        <v>375</v>
      </c>
      <c r="B43" s="38"/>
      <c r="C43" s="38" t="s">
        <v>15</v>
      </c>
      <c r="D43" s="38" t="s">
        <v>185</v>
      </c>
      <c r="E43" s="38" t="s">
        <v>25</v>
      </c>
      <c r="F43" s="38"/>
      <c r="G43" s="43">
        <f>G44+G45</f>
        <v>373.79999999999995</v>
      </c>
      <c r="I43" s="43">
        <f>I44+I45</f>
        <v>373.79999999999995</v>
      </c>
      <c r="K43" s="43">
        <f>K44+K45</f>
        <v>373.79999999999995</v>
      </c>
      <c r="L43" s="56"/>
      <c r="M43" s="43">
        <f>M44+M45</f>
        <v>373.79999999999995</v>
      </c>
      <c r="N43" s="56"/>
      <c r="O43" s="73">
        <f>O44+O45</f>
        <v>373.79999999999995</v>
      </c>
      <c r="Q43" s="73">
        <f>Q44+Q45</f>
        <v>373.79999999999995</v>
      </c>
    </row>
    <row r="44" spans="1:17" x14ac:dyDescent="0.25">
      <c r="A44" s="19" t="s">
        <v>204</v>
      </c>
      <c r="B44" s="38"/>
      <c r="C44" s="38" t="s">
        <v>15</v>
      </c>
      <c r="D44" s="38" t="s">
        <v>185</v>
      </c>
      <c r="E44" s="38" t="s">
        <v>25</v>
      </c>
      <c r="F44" s="38" t="s">
        <v>205</v>
      </c>
      <c r="G44" s="43">
        <f>284.64+85.96</f>
        <v>370.59999999999997</v>
      </c>
      <c r="I44" s="43">
        <f>G44+H44</f>
        <v>370.59999999999997</v>
      </c>
      <c r="K44" s="43">
        <f>I44+J44</f>
        <v>370.59999999999997</v>
      </c>
      <c r="L44" s="56"/>
      <c r="M44" s="43">
        <f>K44+L44</f>
        <v>370.59999999999997</v>
      </c>
      <c r="N44" s="56"/>
      <c r="O44" s="73">
        <f>M44+N44</f>
        <v>370.59999999999997</v>
      </c>
      <c r="Q44" s="73">
        <f>O44+P44</f>
        <v>370.59999999999997</v>
      </c>
    </row>
    <row r="45" spans="1:17" ht="14.25" customHeight="1" x14ac:dyDescent="0.25">
      <c r="A45" s="19" t="s">
        <v>224</v>
      </c>
      <c r="B45" s="38"/>
      <c r="C45" s="38" t="s">
        <v>15</v>
      </c>
      <c r="D45" s="38" t="s">
        <v>185</v>
      </c>
      <c r="E45" s="38" t="s">
        <v>25</v>
      </c>
      <c r="F45" s="38" t="s">
        <v>210</v>
      </c>
      <c r="G45" s="43">
        <f>1.7+1.5</f>
        <v>3.2</v>
      </c>
      <c r="I45" s="43">
        <f>G45+H45</f>
        <v>3.2</v>
      </c>
      <c r="K45" s="43">
        <f>I45+J45</f>
        <v>3.2</v>
      </c>
      <c r="L45" s="56"/>
      <c r="M45" s="43">
        <f>K45+L45</f>
        <v>3.2</v>
      </c>
      <c r="N45" s="56"/>
      <c r="O45" s="73">
        <f>M45+N45</f>
        <v>3.2</v>
      </c>
      <c r="Q45" s="73">
        <f>O45+P45</f>
        <v>3.2</v>
      </c>
    </row>
    <row r="46" spans="1:17" ht="31.5" customHeight="1" x14ac:dyDescent="0.25">
      <c r="A46" s="19" t="s">
        <v>34</v>
      </c>
      <c r="B46" s="38"/>
      <c r="C46" s="38" t="s">
        <v>15</v>
      </c>
      <c r="D46" s="38" t="s">
        <v>185</v>
      </c>
      <c r="E46" s="38" t="s">
        <v>214</v>
      </c>
      <c r="F46" s="38"/>
      <c r="G46" s="43">
        <f>G48+G51</f>
        <v>600</v>
      </c>
      <c r="I46" s="43">
        <f>I48</f>
        <v>100</v>
      </c>
      <c r="K46" s="43">
        <f>K48</f>
        <v>100</v>
      </c>
      <c r="L46" s="56"/>
      <c r="M46" s="43">
        <f>M48</f>
        <v>100</v>
      </c>
      <c r="N46" s="56"/>
      <c r="O46" s="73">
        <f>O48</f>
        <v>100</v>
      </c>
      <c r="Q46" s="73">
        <f>Q48</f>
        <v>100</v>
      </c>
    </row>
    <row r="47" spans="1:17" ht="20.25" hidden="1" customHeight="1" x14ac:dyDescent="0.25">
      <c r="L47" s="56"/>
      <c r="N47" s="56"/>
    </row>
    <row r="48" spans="1:17" ht="15" customHeight="1" x14ac:dyDescent="0.25">
      <c r="A48" s="19" t="s">
        <v>224</v>
      </c>
      <c r="B48" s="38"/>
      <c r="C48" s="38" t="s">
        <v>15</v>
      </c>
      <c r="D48" s="38" t="s">
        <v>185</v>
      </c>
      <c r="E48" s="38" t="s">
        <v>214</v>
      </c>
      <c r="F48" s="38" t="s">
        <v>210</v>
      </c>
      <c r="G48" s="43">
        <v>100</v>
      </c>
      <c r="I48" s="43">
        <f>G48+H48</f>
        <v>100</v>
      </c>
      <c r="K48" s="43">
        <f>I48+J48</f>
        <v>100</v>
      </c>
      <c r="L48" s="56"/>
      <c r="M48" s="43">
        <f>K48+L48</f>
        <v>100</v>
      </c>
      <c r="N48" s="56"/>
      <c r="O48" s="73">
        <f>M48+N48</f>
        <v>100</v>
      </c>
      <c r="Q48" s="73">
        <f>O48+P48</f>
        <v>100</v>
      </c>
    </row>
    <row r="49" spans="1:17" ht="16.5" customHeight="1" x14ac:dyDescent="0.25">
      <c r="A49" s="19" t="s">
        <v>36</v>
      </c>
      <c r="B49" s="38"/>
      <c r="C49" s="38" t="s">
        <v>15</v>
      </c>
      <c r="D49" s="38" t="s">
        <v>185</v>
      </c>
      <c r="E49" s="38" t="s">
        <v>297</v>
      </c>
      <c r="F49" s="38"/>
      <c r="G49" s="43"/>
      <c r="I49" s="43">
        <f>I50</f>
        <v>500</v>
      </c>
      <c r="K49" s="43">
        <f>K50+K52</f>
        <v>6450.79</v>
      </c>
      <c r="L49" s="56"/>
      <c r="M49" s="43">
        <f>M50+M52</f>
        <v>2996.25</v>
      </c>
      <c r="N49" s="56"/>
      <c r="O49" s="73">
        <f>O50+O52</f>
        <v>2908.17</v>
      </c>
      <c r="Q49" s="73">
        <f>Q50+Q52</f>
        <v>2908.17</v>
      </c>
    </row>
    <row r="50" spans="1:17" ht="17.25" customHeight="1" x14ac:dyDescent="0.25">
      <c r="A50" s="19" t="s">
        <v>440</v>
      </c>
      <c r="B50" s="38"/>
      <c r="C50" s="38" t="s">
        <v>15</v>
      </c>
      <c r="D50" s="38" t="s">
        <v>185</v>
      </c>
      <c r="E50" s="38" t="s">
        <v>445</v>
      </c>
      <c r="F50" s="38"/>
      <c r="G50" s="43">
        <f>G51</f>
        <v>500</v>
      </c>
      <c r="I50" s="43">
        <f>I51</f>
        <v>500</v>
      </c>
      <c r="K50" s="43">
        <f>K51</f>
        <v>500</v>
      </c>
      <c r="L50" s="56"/>
      <c r="M50" s="43">
        <f>M51</f>
        <v>0</v>
      </c>
      <c r="N50" s="56"/>
      <c r="O50" s="73">
        <f>O51</f>
        <v>0</v>
      </c>
      <c r="Q50" s="73">
        <f>Q51</f>
        <v>0</v>
      </c>
    </row>
    <row r="51" spans="1:17" ht="15" customHeight="1" x14ac:dyDescent="0.25">
      <c r="A51" s="19" t="s">
        <v>224</v>
      </c>
      <c r="B51" s="38"/>
      <c r="C51" s="38" t="s">
        <v>15</v>
      </c>
      <c r="D51" s="38" t="s">
        <v>185</v>
      </c>
      <c r="E51" s="38" t="s">
        <v>445</v>
      </c>
      <c r="F51" s="38" t="s">
        <v>210</v>
      </c>
      <c r="G51" s="43">
        <v>500</v>
      </c>
      <c r="I51" s="43">
        <f>G51+H51</f>
        <v>500</v>
      </c>
      <c r="K51" s="43">
        <f>I51+J51</f>
        <v>500</v>
      </c>
      <c r="L51" s="56">
        <v>-500</v>
      </c>
      <c r="M51" s="43">
        <f>K51+L51</f>
        <v>0</v>
      </c>
      <c r="N51" s="56"/>
      <c r="O51" s="73">
        <f>M51+N51</f>
        <v>0</v>
      </c>
      <c r="Q51" s="73">
        <f>O51+P51</f>
        <v>0</v>
      </c>
    </row>
    <row r="52" spans="1:17" x14ac:dyDescent="0.25">
      <c r="A52" s="47" t="s">
        <v>376</v>
      </c>
      <c r="B52" s="38"/>
      <c r="C52" s="38" t="s">
        <v>15</v>
      </c>
      <c r="D52" s="38" t="s">
        <v>185</v>
      </c>
      <c r="E52" s="38" t="s">
        <v>215</v>
      </c>
      <c r="F52" s="38"/>
      <c r="G52" s="43">
        <f>G53</f>
        <v>6000</v>
      </c>
      <c r="I52" s="43">
        <f>I53</f>
        <v>5950.79</v>
      </c>
      <c r="K52" s="43">
        <f>K53</f>
        <v>5950.79</v>
      </c>
      <c r="L52" s="56"/>
      <c r="M52" s="43">
        <f>M53</f>
        <v>2996.25</v>
      </c>
      <c r="N52" s="56"/>
      <c r="O52" s="73">
        <f>O53</f>
        <v>2908.17</v>
      </c>
      <c r="Q52" s="73">
        <f>Q53</f>
        <v>2908.17</v>
      </c>
    </row>
    <row r="53" spans="1:17" ht="64.5" customHeight="1" x14ac:dyDescent="0.25">
      <c r="A53" s="19" t="s">
        <v>240</v>
      </c>
      <c r="B53" s="38"/>
      <c r="C53" s="38" t="s">
        <v>15</v>
      </c>
      <c r="D53" s="38" t="s">
        <v>185</v>
      </c>
      <c r="E53" s="38" t="s">
        <v>215</v>
      </c>
      <c r="F53" s="38" t="s">
        <v>239</v>
      </c>
      <c r="G53" s="43">
        <f>6000+3000-3000</f>
        <v>6000</v>
      </c>
      <c r="H53" s="56">
        <v>-49.21</v>
      </c>
      <c r="I53" s="43">
        <f>G53+H53</f>
        <v>5950.79</v>
      </c>
      <c r="K53" s="43">
        <f>I53+J53</f>
        <v>5950.79</v>
      </c>
      <c r="L53" s="56">
        <f>-2771.14-153.4-30</f>
        <v>-2954.54</v>
      </c>
      <c r="M53" s="43">
        <f>K53+L53</f>
        <v>2996.25</v>
      </c>
      <c r="N53" s="56">
        <v>-88.08</v>
      </c>
      <c r="O53" s="73">
        <f>M53+N53</f>
        <v>2908.17</v>
      </c>
      <c r="Q53" s="73">
        <f>O53+P53</f>
        <v>2908.17</v>
      </c>
    </row>
    <row r="54" spans="1:17" ht="18" customHeight="1" x14ac:dyDescent="0.25">
      <c r="A54" s="19" t="s">
        <v>360</v>
      </c>
      <c r="B54" s="38"/>
      <c r="C54" s="38" t="s">
        <v>15</v>
      </c>
      <c r="D54" s="38" t="s">
        <v>185</v>
      </c>
      <c r="E54" s="38" t="s">
        <v>216</v>
      </c>
      <c r="F54" s="38"/>
      <c r="G54" s="43">
        <f>G55</f>
        <v>121</v>
      </c>
      <c r="I54" s="43">
        <f>I55</f>
        <v>121</v>
      </c>
      <c r="K54" s="43">
        <f>K55</f>
        <v>121</v>
      </c>
      <c r="L54" s="56"/>
      <c r="M54" s="43">
        <f>M55</f>
        <v>121</v>
      </c>
      <c r="N54" s="56"/>
      <c r="O54" s="73">
        <f>O55</f>
        <v>121</v>
      </c>
      <c r="Q54" s="73">
        <f>Q55</f>
        <v>121</v>
      </c>
    </row>
    <row r="55" spans="1:17" ht="18" customHeight="1" x14ac:dyDescent="0.25">
      <c r="A55" s="19" t="s">
        <v>208</v>
      </c>
      <c r="B55" s="38"/>
      <c r="C55" s="38" t="s">
        <v>15</v>
      </c>
      <c r="D55" s="38" t="s">
        <v>185</v>
      </c>
      <c r="E55" s="38" t="s">
        <v>216</v>
      </c>
      <c r="F55" s="38" t="s">
        <v>209</v>
      </c>
      <c r="G55" s="43">
        <v>121</v>
      </c>
      <c r="I55" s="43">
        <f>G55+H55</f>
        <v>121</v>
      </c>
      <c r="K55" s="43">
        <f>I55+J55</f>
        <v>121</v>
      </c>
      <c r="L55" s="56"/>
      <c r="M55" s="43">
        <f>K55+L55</f>
        <v>121</v>
      </c>
      <c r="N55" s="56"/>
      <c r="O55" s="73">
        <f>M55+N55</f>
        <v>121</v>
      </c>
      <c r="Q55" s="73">
        <f>O55+P55</f>
        <v>121</v>
      </c>
    </row>
    <row r="56" spans="1:17" ht="30.75" hidden="1" customHeight="1" x14ac:dyDescent="0.25">
      <c r="A56" s="19" t="s">
        <v>422</v>
      </c>
      <c r="B56" s="38"/>
      <c r="C56" s="38" t="s">
        <v>15</v>
      </c>
      <c r="D56" s="38" t="s">
        <v>185</v>
      </c>
      <c r="E56" s="38" t="s">
        <v>421</v>
      </c>
      <c r="F56" s="38"/>
      <c r="G56" s="43">
        <f>G57</f>
        <v>140</v>
      </c>
      <c r="I56" s="43">
        <f>I57</f>
        <v>140</v>
      </c>
      <c r="K56" s="43">
        <f>K57</f>
        <v>0</v>
      </c>
      <c r="L56" s="56"/>
      <c r="M56" s="43">
        <f>M57</f>
        <v>0</v>
      </c>
      <c r="N56" s="56"/>
      <c r="O56" s="73">
        <f>O57</f>
        <v>0</v>
      </c>
      <c r="Q56" s="73">
        <f>Q57</f>
        <v>0</v>
      </c>
    </row>
    <row r="57" spans="1:17" ht="25.5" hidden="1" customHeight="1" x14ac:dyDescent="0.25">
      <c r="A57" s="19" t="s">
        <v>224</v>
      </c>
      <c r="B57" s="38"/>
      <c r="C57" s="38" t="s">
        <v>15</v>
      </c>
      <c r="D57" s="38" t="s">
        <v>185</v>
      </c>
      <c r="E57" s="38" t="s">
        <v>421</v>
      </c>
      <c r="F57" s="38" t="s">
        <v>210</v>
      </c>
      <c r="G57" s="43">
        <v>140</v>
      </c>
      <c r="I57" s="43">
        <f>G57+H57</f>
        <v>140</v>
      </c>
      <c r="J57" s="56">
        <v>-140</v>
      </c>
      <c r="K57" s="43">
        <f>I57+J57</f>
        <v>0</v>
      </c>
      <c r="L57" s="56"/>
      <c r="M57" s="43">
        <f>K57+L57</f>
        <v>0</v>
      </c>
      <c r="N57" s="56"/>
      <c r="O57" s="73">
        <f>M57+N57</f>
        <v>0</v>
      </c>
      <c r="Q57" s="73">
        <f>O57+P57</f>
        <v>0</v>
      </c>
    </row>
    <row r="58" spans="1:17" ht="30.75" hidden="1" customHeight="1" x14ac:dyDescent="0.25">
      <c r="A58" s="19" t="s">
        <v>307</v>
      </c>
      <c r="B58" s="38"/>
      <c r="C58" s="38" t="s">
        <v>15</v>
      </c>
      <c r="D58" s="38" t="s">
        <v>185</v>
      </c>
      <c r="E58" s="38" t="s">
        <v>306</v>
      </c>
      <c r="F58" s="38"/>
      <c r="G58" s="43">
        <f>G59</f>
        <v>300</v>
      </c>
      <c r="I58" s="43">
        <f>I59</f>
        <v>300</v>
      </c>
      <c r="K58" s="43">
        <f>K59</f>
        <v>0</v>
      </c>
      <c r="L58" s="56"/>
      <c r="M58" s="43">
        <f>M59</f>
        <v>0</v>
      </c>
      <c r="N58" s="56"/>
      <c r="O58" s="73">
        <f>O59</f>
        <v>0</v>
      </c>
      <c r="Q58" s="73">
        <f>Q59</f>
        <v>0</v>
      </c>
    </row>
    <row r="59" spans="1:17" ht="25.5" hidden="1" customHeight="1" x14ac:dyDescent="0.25">
      <c r="A59" s="19" t="s">
        <v>224</v>
      </c>
      <c r="B59" s="38"/>
      <c r="C59" s="38" t="s">
        <v>15</v>
      </c>
      <c r="D59" s="38" t="s">
        <v>185</v>
      </c>
      <c r="E59" s="38" t="s">
        <v>306</v>
      </c>
      <c r="F59" s="38" t="s">
        <v>210</v>
      </c>
      <c r="G59" s="43">
        <v>300</v>
      </c>
      <c r="I59" s="43">
        <f>G59+H59</f>
        <v>300</v>
      </c>
      <c r="J59" s="56">
        <v>-300</v>
      </c>
      <c r="K59" s="43">
        <f>I59+J59</f>
        <v>0</v>
      </c>
      <c r="L59" s="56"/>
      <c r="M59" s="43">
        <f>K59+L59</f>
        <v>0</v>
      </c>
      <c r="N59" s="56"/>
      <c r="O59" s="73">
        <f>M59+N59</f>
        <v>0</v>
      </c>
      <c r="Q59" s="73">
        <f>O59+P59</f>
        <v>0</v>
      </c>
    </row>
    <row r="60" spans="1:17" x14ac:dyDescent="0.25">
      <c r="A60" s="40" t="s">
        <v>140</v>
      </c>
      <c r="B60" s="35"/>
      <c r="C60" s="35" t="s">
        <v>17</v>
      </c>
      <c r="D60" s="35"/>
      <c r="E60" s="35"/>
      <c r="F60" s="35"/>
      <c r="G60" s="44">
        <f>G61</f>
        <v>603.69999999999993</v>
      </c>
      <c r="I60" s="44">
        <f>I61</f>
        <v>603.69999999999993</v>
      </c>
      <c r="K60" s="44">
        <f>K61</f>
        <v>603.69999999999993</v>
      </c>
      <c r="L60" s="56"/>
      <c r="M60" s="44">
        <f>M61</f>
        <v>603.69999999999993</v>
      </c>
      <c r="N60" s="56"/>
      <c r="O60" s="72">
        <f>O61</f>
        <v>603.69999999999993</v>
      </c>
      <c r="Q60" s="72">
        <f>Q61</f>
        <v>603.69999999999993</v>
      </c>
    </row>
    <row r="61" spans="1:17" x14ac:dyDescent="0.25">
      <c r="A61" s="40" t="s">
        <v>287</v>
      </c>
      <c r="B61" s="35"/>
      <c r="C61" s="35" t="s">
        <v>17</v>
      </c>
      <c r="D61" s="35" t="s">
        <v>20</v>
      </c>
      <c r="E61" s="35"/>
      <c r="F61" s="35"/>
      <c r="G61" s="44">
        <f>G62</f>
        <v>603.69999999999993</v>
      </c>
      <c r="I61" s="44">
        <f>I62</f>
        <v>603.69999999999993</v>
      </c>
      <c r="K61" s="44">
        <f>K62</f>
        <v>603.69999999999993</v>
      </c>
      <c r="L61" s="56"/>
      <c r="M61" s="44">
        <f>M62</f>
        <v>603.69999999999993</v>
      </c>
      <c r="N61" s="56"/>
      <c r="O61" s="72">
        <f>O62</f>
        <v>603.69999999999993</v>
      </c>
      <c r="Q61" s="72">
        <f>Q62</f>
        <v>603.69999999999993</v>
      </c>
    </row>
    <row r="62" spans="1:17" ht="31.5" x14ac:dyDescent="0.25">
      <c r="A62" s="47" t="s">
        <v>377</v>
      </c>
      <c r="B62" s="38"/>
      <c r="C62" s="38" t="s">
        <v>17</v>
      </c>
      <c r="D62" s="38" t="s">
        <v>20</v>
      </c>
      <c r="E62" s="38" t="s">
        <v>217</v>
      </c>
      <c r="F62" s="38"/>
      <c r="G62" s="43">
        <f>G63+G65+G66</f>
        <v>603.69999999999993</v>
      </c>
      <c r="I62" s="43">
        <f>I63+I65+I66</f>
        <v>603.69999999999993</v>
      </c>
      <c r="K62" s="43">
        <f>K63+K65+K66</f>
        <v>603.69999999999993</v>
      </c>
      <c r="L62" s="56"/>
      <c r="M62" s="43">
        <f>M63+M65+M66</f>
        <v>603.69999999999993</v>
      </c>
      <c r="N62" s="56"/>
      <c r="O62" s="73">
        <f>O63+O65+O66</f>
        <v>603.69999999999993</v>
      </c>
      <c r="Q62" s="73">
        <f>Q63+Q65+Q66</f>
        <v>603.69999999999993</v>
      </c>
    </row>
    <row r="63" spans="1:17" x14ac:dyDescent="0.25">
      <c r="A63" s="19" t="s">
        <v>204</v>
      </c>
      <c r="B63" s="38"/>
      <c r="C63" s="38" t="s">
        <v>17</v>
      </c>
      <c r="D63" s="38" t="s">
        <v>20</v>
      </c>
      <c r="E63" s="38" t="s">
        <v>217</v>
      </c>
      <c r="F63" s="38" t="s">
        <v>205</v>
      </c>
      <c r="G63" s="43">
        <f>412.5+124.6</f>
        <v>537.1</v>
      </c>
      <c r="I63" s="43">
        <f>G63+H63</f>
        <v>537.1</v>
      </c>
      <c r="K63" s="43">
        <f>I63+J63</f>
        <v>537.1</v>
      </c>
      <c r="L63" s="56"/>
      <c r="M63" s="43">
        <f>K63+L63</f>
        <v>537.1</v>
      </c>
      <c r="N63" s="56"/>
      <c r="O63" s="73">
        <f>M63+N63</f>
        <v>537.1</v>
      </c>
      <c r="Q63" s="73">
        <f>O63+P63</f>
        <v>537.1</v>
      </c>
    </row>
    <row r="64" spans="1:17" ht="16.5" customHeight="1" x14ac:dyDescent="0.25">
      <c r="A64" s="19" t="s">
        <v>206</v>
      </c>
      <c r="B64" s="38"/>
      <c r="C64" s="38" t="s">
        <v>17</v>
      </c>
      <c r="D64" s="38" t="s">
        <v>20</v>
      </c>
      <c r="E64" s="38" t="s">
        <v>217</v>
      </c>
      <c r="F64" s="38" t="s">
        <v>207</v>
      </c>
      <c r="G64" s="43"/>
      <c r="I64" s="43">
        <f>G64+H64</f>
        <v>0</v>
      </c>
      <c r="K64" s="43">
        <f>I64+J64</f>
        <v>0</v>
      </c>
      <c r="L64" s="56"/>
      <c r="M64" s="43">
        <f>K64+L64</f>
        <v>0</v>
      </c>
      <c r="N64" s="56"/>
      <c r="O64" s="73">
        <f>M64+N64</f>
        <v>0</v>
      </c>
      <c r="Q64" s="73">
        <f>O64+P64</f>
        <v>0</v>
      </c>
    </row>
    <row r="65" spans="1:17" ht="16.5" customHeight="1" x14ac:dyDescent="0.25">
      <c r="A65" s="19" t="s">
        <v>208</v>
      </c>
      <c r="B65" s="38"/>
      <c r="C65" s="38" t="s">
        <v>17</v>
      </c>
      <c r="D65" s="38" t="s">
        <v>20</v>
      </c>
      <c r="E65" s="38" t="s">
        <v>217</v>
      </c>
      <c r="F65" s="38" t="s">
        <v>209</v>
      </c>
      <c r="G65" s="43">
        <f>15.3+2.5+1+5</f>
        <v>23.8</v>
      </c>
      <c r="I65" s="43">
        <f>G65+H65</f>
        <v>23.8</v>
      </c>
      <c r="K65" s="43">
        <f>I65+J65</f>
        <v>23.8</v>
      </c>
      <c r="L65" s="56"/>
      <c r="M65" s="43">
        <f>K65+L65</f>
        <v>23.8</v>
      </c>
      <c r="N65" s="56"/>
      <c r="O65" s="73">
        <f>M65+N65</f>
        <v>23.8</v>
      </c>
      <c r="Q65" s="73">
        <f>O65+P65</f>
        <v>23.8</v>
      </c>
    </row>
    <row r="66" spans="1:17" ht="15.75" customHeight="1" x14ac:dyDescent="0.25">
      <c r="A66" s="19" t="s">
        <v>224</v>
      </c>
      <c r="B66" s="38"/>
      <c r="C66" s="38" t="s">
        <v>17</v>
      </c>
      <c r="D66" s="38" t="s">
        <v>20</v>
      </c>
      <c r="E66" s="38" t="s">
        <v>217</v>
      </c>
      <c r="F66" s="38" t="s">
        <v>210</v>
      </c>
      <c r="G66" s="43">
        <f>5+27.8+10</f>
        <v>42.8</v>
      </c>
      <c r="I66" s="43">
        <f>G66+H66</f>
        <v>42.8</v>
      </c>
      <c r="K66" s="43">
        <f>I66+J66</f>
        <v>42.8</v>
      </c>
      <c r="L66" s="56"/>
      <c r="M66" s="43">
        <f>K66+L66</f>
        <v>42.8</v>
      </c>
      <c r="N66" s="56"/>
      <c r="O66" s="73">
        <f>M66+N66</f>
        <v>42.8</v>
      </c>
      <c r="Q66" s="73">
        <f>O66+P66</f>
        <v>42.8</v>
      </c>
    </row>
    <row r="67" spans="1:17" ht="15.75" customHeight="1" x14ac:dyDescent="0.25">
      <c r="A67" s="40" t="s">
        <v>141</v>
      </c>
      <c r="B67" s="35"/>
      <c r="C67" s="35" t="s">
        <v>20</v>
      </c>
      <c r="D67" s="35"/>
      <c r="E67" s="35"/>
      <c r="F67" s="35"/>
      <c r="G67" s="44">
        <f>G68</f>
        <v>246.4</v>
      </c>
      <c r="I67" s="44">
        <f>I68</f>
        <v>246.4</v>
      </c>
      <c r="K67" s="44">
        <f>K68</f>
        <v>246.4</v>
      </c>
      <c r="L67" s="56"/>
      <c r="M67" s="44">
        <f>M68</f>
        <v>1618.9499999999998</v>
      </c>
      <c r="N67" s="56"/>
      <c r="O67" s="72">
        <f>O68</f>
        <v>1618.9499999999998</v>
      </c>
      <c r="Q67" s="72">
        <f>Q68</f>
        <v>1618.9499999999998</v>
      </c>
    </row>
    <row r="68" spans="1:17" ht="29.25" customHeight="1" x14ac:dyDescent="0.25">
      <c r="A68" s="40" t="s">
        <v>95</v>
      </c>
      <c r="B68" s="35"/>
      <c r="C68" s="35" t="s">
        <v>20</v>
      </c>
      <c r="D68" s="35" t="s">
        <v>63</v>
      </c>
      <c r="E68" s="35"/>
      <c r="F68" s="35"/>
      <c r="G68" s="44">
        <f>G71+G73</f>
        <v>246.4</v>
      </c>
      <c r="I68" s="44">
        <f>I71+I73</f>
        <v>246.4</v>
      </c>
      <c r="K68" s="44">
        <f>K71+K73</f>
        <v>246.4</v>
      </c>
      <c r="L68" s="56"/>
      <c r="M68" s="44">
        <f>M71+M69</f>
        <v>1618.9499999999998</v>
      </c>
      <c r="N68" s="56"/>
      <c r="O68" s="72">
        <f>O71+O69</f>
        <v>1618.9499999999998</v>
      </c>
      <c r="Q68" s="72">
        <f>Q71+Q69</f>
        <v>1618.9499999999998</v>
      </c>
    </row>
    <row r="69" spans="1:17" ht="15" customHeight="1" x14ac:dyDescent="0.25">
      <c r="A69" s="19" t="s">
        <v>138</v>
      </c>
      <c r="B69" s="38"/>
      <c r="C69" s="38" t="s">
        <v>20</v>
      </c>
      <c r="D69" s="38" t="s">
        <v>63</v>
      </c>
      <c r="E69" s="38" t="s">
        <v>370</v>
      </c>
      <c r="F69" s="38"/>
      <c r="G69" s="43"/>
      <c r="I69" s="43"/>
      <c r="K69" s="43"/>
      <c r="L69" s="56"/>
      <c r="M69" s="43">
        <f>M70</f>
        <v>22.55</v>
      </c>
      <c r="N69" s="56"/>
      <c r="O69" s="73">
        <f>O70</f>
        <v>22.55</v>
      </c>
      <c r="Q69" s="73">
        <f>Q70</f>
        <v>22.55</v>
      </c>
    </row>
    <row r="70" spans="1:17" ht="18.75" customHeight="1" x14ac:dyDescent="0.25">
      <c r="A70" s="19" t="s">
        <v>224</v>
      </c>
      <c r="B70" s="38"/>
      <c r="C70" s="38" t="s">
        <v>20</v>
      </c>
      <c r="D70" s="38" t="s">
        <v>63</v>
      </c>
      <c r="E70" s="38" t="s">
        <v>370</v>
      </c>
      <c r="F70" s="38" t="s">
        <v>210</v>
      </c>
      <c r="G70" s="43"/>
      <c r="I70" s="43"/>
      <c r="K70" s="43"/>
      <c r="L70" s="56">
        <v>22.55</v>
      </c>
      <c r="M70" s="43">
        <f>K70+L70</f>
        <v>22.55</v>
      </c>
      <c r="N70" s="56"/>
      <c r="O70" s="73">
        <f>M70+N70</f>
        <v>22.55</v>
      </c>
      <c r="Q70" s="73">
        <f>O70+P70</f>
        <v>22.55</v>
      </c>
    </row>
    <row r="71" spans="1:17" x14ac:dyDescent="0.25">
      <c r="A71" s="19" t="s">
        <v>52</v>
      </c>
      <c r="B71" s="38"/>
      <c r="C71" s="38" t="s">
        <v>20</v>
      </c>
      <c r="D71" s="38" t="s">
        <v>63</v>
      </c>
      <c r="E71" s="38" t="s">
        <v>218</v>
      </c>
      <c r="F71" s="38"/>
      <c r="G71" s="43">
        <f>G72</f>
        <v>246.4</v>
      </c>
      <c r="I71" s="43">
        <f>I72</f>
        <v>246.4</v>
      </c>
      <c r="K71" s="43">
        <f>K72</f>
        <v>246.4</v>
      </c>
      <c r="L71" s="56"/>
      <c r="M71" s="43">
        <f>M72+M73+M74</f>
        <v>1596.3999999999999</v>
      </c>
      <c r="N71" s="56"/>
      <c r="O71" s="73">
        <f>O72+O73+O74</f>
        <v>1596.3999999999999</v>
      </c>
      <c r="Q71" s="73">
        <f>Q72+Q73+Q74</f>
        <v>1596.3999999999999</v>
      </c>
    </row>
    <row r="72" spans="1:17" x14ac:dyDescent="0.25">
      <c r="A72" s="19" t="s">
        <v>204</v>
      </c>
      <c r="B72" s="38"/>
      <c r="C72" s="38" t="s">
        <v>20</v>
      </c>
      <c r="D72" s="38" t="s">
        <v>63</v>
      </c>
      <c r="E72" s="38" t="s">
        <v>218</v>
      </c>
      <c r="F72" s="38" t="s">
        <v>205</v>
      </c>
      <c r="G72" s="43">
        <v>246.4</v>
      </c>
      <c r="I72" s="43">
        <f>G72+H72</f>
        <v>246.4</v>
      </c>
      <c r="K72" s="43">
        <f>I72+J72</f>
        <v>246.4</v>
      </c>
      <c r="L72" s="56"/>
      <c r="M72" s="43">
        <f>K72+L72</f>
        <v>246.4</v>
      </c>
      <c r="N72" s="56"/>
      <c r="O72" s="73">
        <f>M72+N72</f>
        <v>246.4</v>
      </c>
      <c r="Q72" s="73">
        <f>O72+P72</f>
        <v>246.4</v>
      </c>
    </row>
    <row r="73" spans="1:17" x14ac:dyDescent="0.25">
      <c r="A73" s="19" t="s">
        <v>208</v>
      </c>
      <c r="B73" s="38"/>
      <c r="C73" s="38" t="s">
        <v>20</v>
      </c>
      <c r="D73" s="38" t="s">
        <v>63</v>
      </c>
      <c r="E73" s="38" t="s">
        <v>218</v>
      </c>
      <c r="F73" s="38" t="s">
        <v>209</v>
      </c>
      <c r="G73" s="43"/>
      <c r="I73" s="43">
        <f>G73+H73</f>
        <v>0</v>
      </c>
      <c r="K73" s="43">
        <f>I73+J73</f>
        <v>0</v>
      </c>
      <c r="L73" s="56">
        <v>0.9</v>
      </c>
      <c r="M73" s="43">
        <f>K73+L73</f>
        <v>0.9</v>
      </c>
      <c r="N73" s="56"/>
      <c r="O73" s="73">
        <f>M73+N73</f>
        <v>0.9</v>
      </c>
      <c r="Q73" s="73">
        <f>O73+P73</f>
        <v>0.9</v>
      </c>
    </row>
    <row r="74" spans="1:17" x14ac:dyDescent="0.25">
      <c r="A74" s="19" t="s">
        <v>224</v>
      </c>
      <c r="B74" s="38"/>
      <c r="C74" s="38" t="s">
        <v>20</v>
      </c>
      <c r="D74" s="38" t="s">
        <v>63</v>
      </c>
      <c r="E74" s="38" t="s">
        <v>218</v>
      </c>
      <c r="F74" s="38" t="s">
        <v>210</v>
      </c>
      <c r="G74" s="43"/>
      <c r="I74" s="43"/>
      <c r="K74" s="43"/>
      <c r="L74" s="56">
        <v>1349.1</v>
      </c>
      <c r="M74" s="43">
        <f>K74+L74</f>
        <v>1349.1</v>
      </c>
      <c r="N74" s="56">
        <f>300-300</f>
        <v>0</v>
      </c>
      <c r="O74" s="73">
        <f>M74+N74</f>
        <v>1349.1</v>
      </c>
      <c r="Q74" s="73">
        <f>O74+P74</f>
        <v>1349.1</v>
      </c>
    </row>
    <row r="75" spans="1:17" hidden="1" x14ac:dyDescent="0.25">
      <c r="A75" s="40" t="s">
        <v>42</v>
      </c>
      <c r="B75" s="35"/>
      <c r="C75" s="35" t="s">
        <v>24</v>
      </c>
      <c r="D75" s="35"/>
      <c r="E75" s="35"/>
      <c r="F75" s="35"/>
      <c r="G75" s="44">
        <f>G76</f>
        <v>0</v>
      </c>
      <c r="I75" s="44">
        <f>I76</f>
        <v>0</v>
      </c>
      <c r="K75" s="44">
        <f>K76</f>
        <v>0</v>
      </c>
      <c r="L75" s="56"/>
      <c r="M75" s="44">
        <f>M76</f>
        <v>0</v>
      </c>
      <c r="N75" s="56"/>
      <c r="O75" s="72">
        <f>O76</f>
        <v>0</v>
      </c>
      <c r="Q75" s="72">
        <f>Q76</f>
        <v>0</v>
      </c>
    </row>
    <row r="76" spans="1:17" hidden="1" x14ac:dyDescent="0.25">
      <c r="A76" s="40" t="s">
        <v>220</v>
      </c>
      <c r="B76" s="35"/>
      <c r="C76" s="35" t="s">
        <v>24</v>
      </c>
      <c r="D76" s="35" t="s">
        <v>98</v>
      </c>
      <c r="E76" s="35"/>
      <c r="F76" s="35"/>
      <c r="G76" s="44">
        <f>G77</f>
        <v>0</v>
      </c>
      <c r="I76" s="44">
        <f>I77</f>
        <v>0</v>
      </c>
      <c r="K76" s="44">
        <f>K77</f>
        <v>0</v>
      </c>
      <c r="L76" s="56"/>
      <c r="M76" s="44">
        <f>M77</f>
        <v>0</v>
      </c>
      <c r="N76" s="56"/>
      <c r="O76" s="72">
        <f>O77</f>
        <v>0</v>
      </c>
      <c r="Q76" s="72">
        <f>Q77</f>
        <v>0</v>
      </c>
    </row>
    <row r="77" spans="1:17" ht="30.75" hidden="1" customHeight="1" x14ac:dyDescent="0.25">
      <c r="A77" s="49" t="s">
        <v>383</v>
      </c>
      <c r="B77" s="38"/>
      <c r="C77" s="38" t="s">
        <v>24</v>
      </c>
      <c r="D77" s="38" t="s">
        <v>98</v>
      </c>
      <c r="E77" s="38" t="s">
        <v>219</v>
      </c>
      <c r="F77" s="38"/>
      <c r="G77" s="43">
        <f>G78</f>
        <v>0</v>
      </c>
      <c r="I77" s="43">
        <f>I78</f>
        <v>0</v>
      </c>
      <c r="K77" s="43">
        <f>K78</f>
        <v>0</v>
      </c>
      <c r="L77" s="56"/>
      <c r="M77" s="43">
        <f>M78</f>
        <v>0</v>
      </c>
      <c r="N77" s="56"/>
      <c r="O77" s="73">
        <f>O78</f>
        <v>0</v>
      </c>
      <c r="Q77" s="73">
        <f>Q78</f>
        <v>0</v>
      </c>
    </row>
    <row r="78" spans="1:17" ht="30" hidden="1" customHeight="1" x14ac:dyDescent="0.25">
      <c r="A78" s="47" t="s">
        <v>378</v>
      </c>
      <c r="B78" s="38"/>
      <c r="C78" s="38" t="s">
        <v>24</v>
      </c>
      <c r="D78" s="38" t="s">
        <v>98</v>
      </c>
      <c r="E78" s="38" t="s">
        <v>219</v>
      </c>
      <c r="F78" s="38" t="s">
        <v>301</v>
      </c>
      <c r="G78" s="43"/>
      <c r="I78" s="43"/>
      <c r="K78" s="43"/>
      <c r="L78" s="56"/>
      <c r="M78" s="43"/>
      <c r="N78" s="56"/>
      <c r="O78" s="73"/>
      <c r="Q78" s="73"/>
    </row>
    <row r="79" spans="1:17" ht="18" customHeight="1" x14ac:dyDescent="0.25">
      <c r="A79" s="121" t="s">
        <v>42</v>
      </c>
      <c r="B79" s="35"/>
      <c r="C79" s="35" t="s">
        <v>24</v>
      </c>
      <c r="D79" s="35"/>
      <c r="E79" s="35"/>
      <c r="F79" s="35"/>
      <c r="G79" s="44"/>
      <c r="H79" s="57"/>
      <c r="I79" s="44"/>
      <c r="J79" s="57"/>
      <c r="K79" s="44">
        <f>K85</f>
        <v>300</v>
      </c>
      <c r="L79" s="56"/>
      <c r="M79" s="44">
        <f>M85</f>
        <v>323.5</v>
      </c>
      <c r="N79" s="56"/>
      <c r="O79" s="72">
        <f>O85</f>
        <v>323.5</v>
      </c>
      <c r="Q79" s="72">
        <f>Q85+Q80</f>
        <v>13681.49</v>
      </c>
    </row>
    <row r="80" spans="1:17" ht="15.75" customHeight="1" x14ac:dyDescent="0.25">
      <c r="A80" s="75" t="s">
        <v>606</v>
      </c>
      <c r="B80" s="38"/>
      <c r="C80" s="35" t="s">
        <v>24</v>
      </c>
      <c r="D80" s="35" t="s">
        <v>43</v>
      </c>
      <c r="E80" s="35"/>
      <c r="F80" s="35"/>
      <c r="G80" s="44"/>
      <c r="H80" s="57"/>
      <c r="I80" s="44"/>
      <c r="J80" s="57"/>
      <c r="K80" s="44"/>
      <c r="L80" s="57"/>
      <c r="M80" s="44"/>
      <c r="N80" s="57"/>
      <c r="O80" s="72"/>
      <c r="P80" s="76"/>
      <c r="Q80" s="72">
        <f>Q81+Q83</f>
        <v>13357.99</v>
      </c>
    </row>
    <row r="81" spans="1:17" ht="30" customHeight="1" x14ac:dyDescent="0.25">
      <c r="A81" s="41" t="s">
        <v>607</v>
      </c>
      <c r="B81" s="38"/>
      <c r="C81" s="38" t="s">
        <v>24</v>
      </c>
      <c r="D81" s="38" t="s">
        <v>43</v>
      </c>
      <c r="E81" s="38" t="s">
        <v>573</v>
      </c>
      <c r="F81" s="38"/>
      <c r="G81" s="43"/>
      <c r="I81" s="43"/>
      <c r="K81" s="43"/>
      <c r="L81" s="56"/>
      <c r="M81" s="43"/>
      <c r="N81" s="56"/>
      <c r="O81" s="73"/>
      <c r="Q81" s="73">
        <f>Q82</f>
        <v>10000</v>
      </c>
    </row>
    <row r="82" spans="1:17" ht="27.75" customHeight="1" x14ac:dyDescent="0.25">
      <c r="A82" s="41" t="s">
        <v>608</v>
      </c>
      <c r="B82" s="38"/>
      <c r="C82" s="38" t="s">
        <v>24</v>
      </c>
      <c r="D82" s="38" t="s">
        <v>43</v>
      </c>
      <c r="E82" s="38" t="s">
        <v>573</v>
      </c>
      <c r="F82" s="38" t="s">
        <v>271</v>
      </c>
      <c r="G82" s="43"/>
      <c r="I82" s="43"/>
      <c r="K82" s="43"/>
      <c r="L82" s="56"/>
      <c r="M82" s="43"/>
      <c r="N82" s="56"/>
      <c r="O82" s="73"/>
      <c r="P82" s="30">
        <v>10000</v>
      </c>
      <c r="Q82" s="73">
        <f>P82+O82</f>
        <v>10000</v>
      </c>
    </row>
    <row r="83" spans="1:17" ht="16.5" customHeight="1" x14ac:dyDescent="0.25">
      <c r="A83" s="41" t="s">
        <v>610</v>
      </c>
      <c r="B83" s="38"/>
      <c r="C83" s="38" t="s">
        <v>24</v>
      </c>
      <c r="D83" s="38" t="s">
        <v>43</v>
      </c>
      <c r="E83" s="38" t="s">
        <v>611</v>
      </c>
      <c r="F83" s="38"/>
      <c r="G83" s="43"/>
      <c r="I83" s="43"/>
      <c r="K83" s="43"/>
      <c r="L83" s="56"/>
      <c r="M83" s="43"/>
      <c r="N83" s="56"/>
      <c r="O83" s="73"/>
      <c r="Q83" s="73">
        <f>Q84</f>
        <v>3357.99</v>
      </c>
    </row>
    <row r="84" spans="1:17" ht="30.75" customHeight="1" x14ac:dyDescent="0.25">
      <c r="A84" s="41" t="s">
        <v>608</v>
      </c>
      <c r="B84" s="38"/>
      <c r="C84" s="38" t="s">
        <v>24</v>
      </c>
      <c r="D84" s="38" t="s">
        <v>43</v>
      </c>
      <c r="E84" s="38" t="s">
        <v>611</v>
      </c>
      <c r="F84" s="38" t="s">
        <v>271</v>
      </c>
      <c r="G84" s="43"/>
      <c r="I84" s="43"/>
      <c r="K84" s="43"/>
      <c r="L84" s="56"/>
      <c r="M84" s="43"/>
      <c r="N84" s="56"/>
      <c r="O84" s="73"/>
      <c r="P84" s="30">
        <v>3357.99</v>
      </c>
      <c r="Q84" s="73">
        <f>P84+O84</f>
        <v>3357.99</v>
      </c>
    </row>
    <row r="85" spans="1:17" ht="16.5" customHeight="1" x14ac:dyDescent="0.25">
      <c r="A85" s="34" t="s">
        <v>166</v>
      </c>
      <c r="B85" s="35"/>
      <c r="C85" s="35" t="s">
        <v>24</v>
      </c>
      <c r="D85" s="35" t="s">
        <v>27</v>
      </c>
      <c r="E85" s="35"/>
      <c r="F85" s="35"/>
      <c r="G85" s="44"/>
      <c r="H85" s="57"/>
      <c r="I85" s="44"/>
      <c r="J85" s="57"/>
      <c r="K85" s="44">
        <f>K86</f>
        <v>300</v>
      </c>
      <c r="L85" s="57"/>
      <c r="M85" s="44">
        <f>M86+M88</f>
        <v>323.5</v>
      </c>
      <c r="N85" s="57"/>
      <c r="O85" s="72">
        <f>O86+O88</f>
        <v>323.5</v>
      </c>
      <c r="P85" s="76"/>
      <c r="Q85" s="72">
        <f>Q86+Q88</f>
        <v>323.5</v>
      </c>
    </row>
    <row r="86" spans="1:17" ht="33" customHeight="1" x14ac:dyDescent="0.25">
      <c r="A86" s="19" t="s">
        <v>307</v>
      </c>
      <c r="B86" s="38"/>
      <c r="C86" s="38" t="s">
        <v>24</v>
      </c>
      <c r="D86" s="38" t="s">
        <v>27</v>
      </c>
      <c r="E86" s="38" t="s">
        <v>306</v>
      </c>
      <c r="F86" s="38"/>
      <c r="G86" s="43"/>
      <c r="I86" s="43"/>
      <c r="K86" s="43">
        <f>K87</f>
        <v>300</v>
      </c>
      <c r="L86" s="56"/>
      <c r="M86" s="43">
        <f>M87</f>
        <v>300</v>
      </c>
      <c r="N86" s="56"/>
      <c r="O86" s="73">
        <f>O87</f>
        <v>300</v>
      </c>
      <c r="Q86" s="73">
        <f>Q87</f>
        <v>300</v>
      </c>
    </row>
    <row r="87" spans="1:17" ht="16.5" customHeight="1" x14ac:dyDescent="0.25">
      <c r="A87" s="19" t="s">
        <v>224</v>
      </c>
      <c r="B87" s="38"/>
      <c r="C87" s="38" t="s">
        <v>24</v>
      </c>
      <c r="D87" s="38" t="s">
        <v>27</v>
      </c>
      <c r="E87" s="38" t="s">
        <v>306</v>
      </c>
      <c r="F87" s="38" t="s">
        <v>210</v>
      </c>
      <c r="G87" s="43"/>
      <c r="I87" s="43"/>
      <c r="J87" s="56">
        <v>300</v>
      </c>
      <c r="K87" s="43">
        <f>I87+J87</f>
        <v>300</v>
      </c>
      <c r="L87" s="56"/>
      <c r="M87" s="43">
        <f>K87+L87</f>
        <v>300</v>
      </c>
      <c r="N87" s="56"/>
      <c r="O87" s="73">
        <f>M87+N87</f>
        <v>300</v>
      </c>
      <c r="Q87" s="73">
        <f>O87+P87</f>
        <v>300</v>
      </c>
    </row>
    <row r="88" spans="1:17" ht="17.25" customHeight="1" x14ac:dyDescent="0.25">
      <c r="A88" s="19" t="s">
        <v>503</v>
      </c>
      <c r="B88" s="38"/>
      <c r="C88" s="38" t="s">
        <v>24</v>
      </c>
      <c r="D88" s="38" t="s">
        <v>27</v>
      </c>
      <c r="E88" s="38" t="s">
        <v>309</v>
      </c>
      <c r="F88" s="38"/>
      <c r="G88" s="43"/>
      <c r="I88" s="43"/>
      <c r="K88" s="43"/>
      <c r="L88" s="56"/>
      <c r="M88" s="43">
        <f>M89</f>
        <v>23.5</v>
      </c>
      <c r="N88" s="56"/>
      <c r="O88" s="73">
        <f>O89</f>
        <v>23.5</v>
      </c>
      <c r="Q88" s="73">
        <f>Q89</f>
        <v>23.5</v>
      </c>
    </row>
    <row r="89" spans="1:17" ht="15.75" customHeight="1" x14ac:dyDescent="0.25">
      <c r="A89" s="19" t="s">
        <v>224</v>
      </c>
      <c r="B89" s="38"/>
      <c r="C89" s="38" t="s">
        <v>24</v>
      </c>
      <c r="D89" s="38" t="s">
        <v>27</v>
      </c>
      <c r="E89" s="38" t="s">
        <v>309</v>
      </c>
      <c r="F89" s="38" t="s">
        <v>210</v>
      </c>
      <c r="G89" s="43"/>
      <c r="I89" s="43"/>
      <c r="K89" s="43"/>
      <c r="L89" s="56">
        <v>23.5</v>
      </c>
      <c r="M89" s="43">
        <f>K89+L89</f>
        <v>23.5</v>
      </c>
      <c r="N89" s="56"/>
      <c r="O89" s="73">
        <f>M89+N89</f>
        <v>23.5</v>
      </c>
      <c r="Q89" s="73">
        <f>O89+P89</f>
        <v>23.5</v>
      </c>
    </row>
    <row r="90" spans="1:17" ht="16.5" customHeight="1" x14ac:dyDescent="0.25">
      <c r="A90" s="40" t="s">
        <v>45</v>
      </c>
      <c r="B90" s="35"/>
      <c r="C90" s="35" t="s">
        <v>46</v>
      </c>
      <c r="D90" s="35"/>
      <c r="E90" s="35"/>
      <c r="F90" s="35"/>
      <c r="G90" s="44" t="e">
        <f>G109+#REF!</f>
        <v>#REF!</v>
      </c>
      <c r="I90" s="44" t="e">
        <f>I109+#REF!</f>
        <v>#REF!</v>
      </c>
      <c r="K90" s="44" t="e">
        <f>K109+#REF!+K100+K91</f>
        <v>#REF!</v>
      </c>
      <c r="L90" s="56"/>
      <c r="M90" s="44">
        <f>M109+M100+M91+M106</f>
        <v>10328.16</v>
      </c>
      <c r="N90" s="56"/>
      <c r="O90" s="72">
        <f>O109+O100+O91+O106</f>
        <v>11941.92</v>
      </c>
      <c r="Q90" s="72">
        <f>Q109+Q100+Q91+Q106</f>
        <v>11941.92</v>
      </c>
    </row>
    <row r="91" spans="1:17" ht="16.5" customHeight="1" x14ac:dyDescent="0.25">
      <c r="A91" s="29" t="s">
        <v>418</v>
      </c>
      <c r="B91" s="35"/>
      <c r="C91" s="35" t="s">
        <v>46</v>
      </c>
      <c r="D91" s="35" t="s">
        <v>15</v>
      </c>
      <c r="E91" s="35"/>
      <c r="F91" s="35"/>
      <c r="G91" s="44"/>
      <c r="I91" s="44"/>
      <c r="K91" s="44">
        <f>K98</f>
        <v>5300</v>
      </c>
      <c r="L91" s="56"/>
      <c r="M91" s="44">
        <f>M98+M96</f>
        <v>8884.26</v>
      </c>
      <c r="N91" s="56"/>
      <c r="O91" s="72">
        <f>O98+O96+O94+O92</f>
        <v>10263.68</v>
      </c>
      <c r="Q91" s="72">
        <f>Q98+Q96+Q94+Q92</f>
        <v>10263.68</v>
      </c>
    </row>
    <row r="92" spans="1:17" ht="27" customHeight="1" x14ac:dyDescent="0.25">
      <c r="A92" s="51" t="s">
        <v>624</v>
      </c>
      <c r="B92" s="38"/>
      <c r="C92" s="38" t="s">
        <v>46</v>
      </c>
      <c r="D92" s="38" t="s">
        <v>15</v>
      </c>
      <c r="E92" s="38" t="s">
        <v>566</v>
      </c>
      <c r="F92" s="38"/>
      <c r="G92" s="43"/>
      <c r="I92" s="43"/>
      <c r="K92" s="43"/>
      <c r="L92" s="56"/>
      <c r="M92" s="43"/>
      <c r="N92" s="56"/>
      <c r="O92" s="73">
        <f>O93</f>
        <v>487.05</v>
      </c>
      <c r="Q92" s="73">
        <f>Q93</f>
        <v>487.05</v>
      </c>
    </row>
    <row r="93" spans="1:17" ht="27.75" customHeight="1" x14ac:dyDescent="0.25">
      <c r="A93" s="51" t="s">
        <v>565</v>
      </c>
      <c r="B93" s="38"/>
      <c r="C93" s="38" t="s">
        <v>46</v>
      </c>
      <c r="D93" s="38" t="s">
        <v>15</v>
      </c>
      <c r="E93" s="38" t="s">
        <v>566</v>
      </c>
      <c r="F93" s="38" t="s">
        <v>301</v>
      </c>
      <c r="G93" s="43"/>
      <c r="I93" s="43"/>
      <c r="K93" s="43"/>
      <c r="L93" s="56"/>
      <c r="M93" s="43"/>
      <c r="N93" s="56">
        <v>487.05</v>
      </c>
      <c r="O93" s="73">
        <f>M93+N93</f>
        <v>487.05</v>
      </c>
      <c r="Q93" s="73">
        <f>O93+P93</f>
        <v>487.05</v>
      </c>
    </row>
    <row r="94" spans="1:17" ht="15.75" customHeight="1" x14ac:dyDescent="0.25">
      <c r="A94" s="51" t="s">
        <v>625</v>
      </c>
      <c r="B94" s="38"/>
      <c r="C94" s="38" t="s">
        <v>46</v>
      </c>
      <c r="D94" s="38" t="s">
        <v>15</v>
      </c>
      <c r="E94" s="38" t="s">
        <v>567</v>
      </c>
      <c r="F94" s="38"/>
      <c r="G94" s="43"/>
      <c r="I94" s="43"/>
      <c r="K94" s="43"/>
      <c r="L94" s="56"/>
      <c r="M94" s="43"/>
      <c r="N94" s="56"/>
      <c r="O94" s="73">
        <f>O95</f>
        <v>892.37</v>
      </c>
      <c r="Q94" s="73">
        <f>Q95</f>
        <v>892.37</v>
      </c>
    </row>
    <row r="95" spans="1:17" ht="31.5" customHeight="1" x14ac:dyDescent="0.25">
      <c r="A95" s="51" t="s">
        <v>565</v>
      </c>
      <c r="B95" s="38"/>
      <c r="C95" s="38" t="s">
        <v>46</v>
      </c>
      <c r="D95" s="38" t="s">
        <v>15</v>
      </c>
      <c r="E95" s="38" t="s">
        <v>567</v>
      </c>
      <c r="F95" s="38" t="s">
        <v>301</v>
      </c>
      <c r="G95" s="43"/>
      <c r="I95" s="43"/>
      <c r="K95" s="43"/>
      <c r="L95" s="56"/>
      <c r="M95" s="43"/>
      <c r="N95" s="56">
        <v>892.37</v>
      </c>
      <c r="O95" s="73">
        <f>M95+N95</f>
        <v>892.37</v>
      </c>
      <c r="Q95" s="73">
        <f>O95+P95</f>
        <v>892.37</v>
      </c>
    </row>
    <row r="96" spans="1:17" ht="27.75" customHeight="1" x14ac:dyDescent="0.25">
      <c r="A96" s="51" t="s">
        <v>562</v>
      </c>
      <c r="B96" s="38"/>
      <c r="C96" s="38" t="s">
        <v>46</v>
      </c>
      <c r="D96" s="38" t="s">
        <v>15</v>
      </c>
      <c r="E96" s="38" t="s">
        <v>561</v>
      </c>
      <c r="F96" s="38"/>
      <c r="G96" s="43"/>
      <c r="I96" s="43"/>
      <c r="K96" s="43"/>
      <c r="L96" s="56"/>
      <c r="M96" s="43">
        <f>M97</f>
        <v>584.26</v>
      </c>
      <c r="N96" s="56"/>
      <c r="O96" s="73">
        <f>O97</f>
        <v>584.26</v>
      </c>
      <c r="Q96" s="73">
        <f>Q97</f>
        <v>584.26</v>
      </c>
    </row>
    <row r="97" spans="1:17" ht="16.5" customHeight="1" x14ac:dyDescent="0.25">
      <c r="A97" s="51" t="s">
        <v>378</v>
      </c>
      <c r="B97" s="38"/>
      <c r="C97" s="38" t="s">
        <v>46</v>
      </c>
      <c r="D97" s="38" t="s">
        <v>15</v>
      </c>
      <c r="E97" s="38" t="s">
        <v>561</v>
      </c>
      <c r="F97" s="38" t="s">
        <v>301</v>
      </c>
      <c r="G97" s="43"/>
      <c r="I97" s="43"/>
      <c r="K97" s="43"/>
      <c r="L97" s="56">
        <v>584.26</v>
      </c>
      <c r="M97" s="43">
        <f>K97+L97</f>
        <v>584.26</v>
      </c>
      <c r="N97" s="56"/>
      <c r="O97" s="73">
        <f>M97+N97</f>
        <v>584.26</v>
      </c>
      <c r="Q97" s="73">
        <f>O97+P97</f>
        <v>584.26</v>
      </c>
    </row>
    <row r="98" spans="1:17" ht="15.75" customHeight="1" x14ac:dyDescent="0.25">
      <c r="A98" s="51" t="s">
        <v>419</v>
      </c>
      <c r="B98" s="38"/>
      <c r="C98" s="38" t="s">
        <v>46</v>
      </c>
      <c r="D98" s="38" t="s">
        <v>15</v>
      </c>
      <c r="E98" s="38" t="s">
        <v>448</v>
      </c>
      <c r="F98" s="38"/>
      <c r="G98" s="43"/>
      <c r="I98" s="43"/>
      <c r="K98" s="43">
        <f>K99</f>
        <v>5300</v>
      </c>
      <c r="L98" s="56"/>
      <c r="M98" s="43">
        <f>M99</f>
        <v>8300</v>
      </c>
      <c r="N98" s="56"/>
      <c r="O98" s="73">
        <f>O99</f>
        <v>8300</v>
      </c>
      <c r="Q98" s="73">
        <f>Q99</f>
        <v>8300</v>
      </c>
    </row>
    <row r="99" spans="1:17" ht="30.75" customHeight="1" x14ac:dyDescent="0.25">
      <c r="A99" s="19" t="s">
        <v>450</v>
      </c>
      <c r="B99" s="38"/>
      <c r="C99" s="38" t="s">
        <v>46</v>
      </c>
      <c r="D99" s="38" t="s">
        <v>15</v>
      </c>
      <c r="E99" s="38" t="s">
        <v>448</v>
      </c>
      <c r="F99" s="38" t="s">
        <v>449</v>
      </c>
      <c r="G99" s="43"/>
      <c r="I99" s="43"/>
      <c r="J99" s="56">
        <v>5300</v>
      </c>
      <c r="K99" s="43">
        <f>I99+J99</f>
        <v>5300</v>
      </c>
      <c r="L99" s="56">
        <f>640+2360</f>
        <v>3000</v>
      </c>
      <c r="M99" s="43">
        <f>K99+L99</f>
        <v>8300</v>
      </c>
      <c r="N99" s="56"/>
      <c r="O99" s="73">
        <f>M99+N99</f>
        <v>8300</v>
      </c>
      <c r="Q99" s="73">
        <f>O99+P99</f>
        <v>8300</v>
      </c>
    </row>
    <row r="100" spans="1:17" ht="16.5" customHeight="1" x14ac:dyDescent="0.25">
      <c r="A100" s="40" t="s">
        <v>47</v>
      </c>
      <c r="B100" s="35"/>
      <c r="C100" s="35" t="s">
        <v>46</v>
      </c>
      <c r="D100" s="35" t="s">
        <v>17</v>
      </c>
      <c r="E100" s="35"/>
      <c r="F100" s="35"/>
      <c r="G100" s="44"/>
      <c r="H100" s="57"/>
      <c r="I100" s="44"/>
      <c r="J100" s="57"/>
      <c r="K100" s="44">
        <f>K101</f>
        <v>140</v>
      </c>
      <c r="L100" s="56"/>
      <c r="M100" s="44">
        <f>M101</f>
        <v>140</v>
      </c>
      <c r="N100" s="56"/>
      <c r="O100" s="72">
        <f>O101+O103</f>
        <v>374.34</v>
      </c>
      <c r="Q100" s="72">
        <f>Q101+Q103</f>
        <v>374.34</v>
      </c>
    </row>
    <row r="101" spans="1:17" ht="16.5" customHeight="1" x14ac:dyDescent="0.25">
      <c r="A101" s="19" t="s">
        <v>422</v>
      </c>
      <c r="B101" s="35"/>
      <c r="C101" s="38" t="s">
        <v>46</v>
      </c>
      <c r="D101" s="38" t="s">
        <v>17</v>
      </c>
      <c r="E101" s="38" t="s">
        <v>421</v>
      </c>
      <c r="F101" s="38"/>
      <c r="G101" s="43"/>
      <c r="I101" s="43"/>
      <c r="K101" s="43">
        <f>K102</f>
        <v>140</v>
      </c>
      <c r="L101" s="56"/>
      <c r="M101" s="43">
        <f>M102</f>
        <v>140</v>
      </c>
      <c r="N101" s="56"/>
      <c r="O101" s="73">
        <f>O102</f>
        <v>140</v>
      </c>
      <c r="Q101" s="73">
        <f>Q102</f>
        <v>140</v>
      </c>
    </row>
    <row r="102" spans="1:17" ht="16.5" customHeight="1" x14ac:dyDescent="0.25">
      <c r="A102" s="19" t="s">
        <v>224</v>
      </c>
      <c r="B102" s="35"/>
      <c r="C102" s="38" t="s">
        <v>46</v>
      </c>
      <c r="D102" s="38" t="s">
        <v>17</v>
      </c>
      <c r="E102" s="38" t="s">
        <v>421</v>
      </c>
      <c r="F102" s="38" t="s">
        <v>210</v>
      </c>
      <c r="G102" s="43"/>
      <c r="I102" s="43"/>
      <c r="J102" s="56">
        <v>140</v>
      </c>
      <c r="K102" s="43">
        <f>I102+J102</f>
        <v>140</v>
      </c>
      <c r="L102" s="56"/>
      <c r="M102" s="43">
        <f>K102+L102</f>
        <v>140</v>
      </c>
      <c r="N102" s="56"/>
      <c r="O102" s="73">
        <f>M102+N102</f>
        <v>140</v>
      </c>
      <c r="Q102" s="73">
        <f>O102+P102</f>
        <v>140</v>
      </c>
    </row>
    <row r="103" spans="1:17" ht="16.5" customHeight="1" x14ac:dyDescent="0.25">
      <c r="A103" s="19" t="s">
        <v>626</v>
      </c>
      <c r="B103" s="35"/>
      <c r="C103" s="38" t="s">
        <v>46</v>
      </c>
      <c r="D103" s="38" t="s">
        <v>17</v>
      </c>
      <c r="E103" s="38" t="s">
        <v>417</v>
      </c>
      <c r="F103" s="38"/>
      <c r="G103" s="43"/>
      <c r="I103" s="43"/>
      <c r="K103" s="43"/>
      <c r="L103" s="56"/>
      <c r="M103" s="43"/>
      <c r="N103" s="56"/>
      <c r="O103" s="73">
        <f>O104+O105</f>
        <v>234.33999999999997</v>
      </c>
      <c r="Q103" s="73">
        <f>Q104+Q105</f>
        <v>234.33999999999997</v>
      </c>
    </row>
    <row r="104" spans="1:17" ht="18" customHeight="1" x14ac:dyDescent="0.25">
      <c r="A104" s="19" t="s">
        <v>208</v>
      </c>
      <c r="B104" s="35"/>
      <c r="C104" s="38" t="s">
        <v>46</v>
      </c>
      <c r="D104" s="38" t="s">
        <v>17</v>
      </c>
      <c r="E104" s="38" t="s">
        <v>417</v>
      </c>
      <c r="F104" s="38" t="s">
        <v>209</v>
      </c>
      <c r="G104" s="43"/>
      <c r="I104" s="43"/>
      <c r="K104" s="43"/>
      <c r="L104" s="56"/>
      <c r="M104" s="43"/>
      <c r="N104" s="56">
        <v>99.74</v>
      </c>
      <c r="O104" s="73">
        <f t="shared" ref="O104:Q105" si="3">M104+N104</f>
        <v>99.74</v>
      </c>
      <c r="Q104" s="73">
        <f t="shared" si="3"/>
        <v>99.74</v>
      </c>
    </row>
    <row r="105" spans="1:17" ht="16.5" customHeight="1" x14ac:dyDescent="0.25">
      <c r="A105" s="19" t="s">
        <v>572</v>
      </c>
      <c r="B105" s="35"/>
      <c r="C105" s="38" t="s">
        <v>46</v>
      </c>
      <c r="D105" s="38" t="s">
        <v>17</v>
      </c>
      <c r="E105" s="38" t="s">
        <v>417</v>
      </c>
      <c r="F105" s="38" t="s">
        <v>210</v>
      </c>
      <c r="G105" s="43"/>
      <c r="I105" s="43"/>
      <c r="K105" s="43"/>
      <c r="L105" s="56"/>
      <c r="M105" s="43"/>
      <c r="N105" s="56">
        <v>134.6</v>
      </c>
      <c r="O105" s="73">
        <f t="shared" si="3"/>
        <v>134.6</v>
      </c>
      <c r="Q105" s="73">
        <f t="shared" si="3"/>
        <v>134.6</v>
      </c>
    </row>
    <row r="106" spans="1:17" ht="16.5" customHeight="1" x14ac:dyDescent="0.25">
      <c r="A106" s="40" t="s">
        <v>48</v>
      </c>
      <c r="B106" s="35"/>
      <c r="C106" s="35" t="s">
        <v>46</v>
      </c>
      <c r="D106" s="35" t="s">
        <v>20</v>
      </c>
      <c r="E106" s="35"/>
      <c r="F106" s="35"/>
      <c r="G106" s="44"/>
      <c r="H106" s="57"/>
      <c r="I106" s="44"/>
      <c r="J106" s="57"/>
      <c r="K106" s="44"/>
      <c r="L106" s="57"/>
      <c r="M106" s="44">
        <f>M107</f>
        <v>9</v>
      </c>
      <c r="N106" s="57"/>
      <c r="O106" s="72">
        <f>O107</f>
        <v>9</v>
      </c>
      <c r="Q106" s="72">
        <f>Q107</f>
        <v>9</v>
      </c>
    </row>
    <row r="107" spans="1:17" ht="30.75" customHeight="1" x14ac:dyDescent="0.25">
      <c r="A107" s="19" t="s">
        <v>504</v>
      </c>
      <c r="B107" s="38"/>
      <c r="C107" s="38" t="s">
        <v>46</v>
      </c>
      <c r="D107" s="38" t="s">
        <v>20</v>
      </c>
      <c r="E107" s="38" t="s">
        <v>371</v>
      </c>
      <c r="F107" s="38"/>
      <c r="G107" s="43"/>
      <c r="I107" s="43"/>
      <c r="K107" s="43"/>
      <c r="L107" s="56"/>
      <c r="M107" s="43">
        <f>M108</f>
        <v>9</v>
      </c>
      <c r="N107" s="56"/>
      <c r="O107" s="73">
        <f>O108</f>
        <v>9</v>
      </c>
      <c r="Q107" s="73">
        <f>Q108</f>
        <v>9</v>
      </c>
    </row>
    <row r="108" spans="1:17" ht="16.5" customHeight="1" x14ac:dyDescent="0.25">
      <c r="A108" s="19" t="s">
        <v>224</v>
      </c>
      <c r="B108" s="38"/>
      <c r="C108" s="38" t="s">
        <v>46</v>
      </c>
      <c r="D108" s="38" t="s">
        <v>20</v>
      </c>
      <c r="E108" s="38" t="s">
        <v>371</v>
      </c>
      <c r="F108" s="38" t="s">
        <v>210</v>
      </c>
      <c r="G108" s="43"/>
      <c r="I108" s="43"/>
      <c r="K108" s="43"/>
      <c r="L108" s="56">
        <v>9</v>
      </c>
      <c r="M108" s="43">
        <f>K108+L108</f>
        <v>9</v>
      </c>
      <c r="N108" s="56"/>
      <c r="O108" s="73">
        <f>M108+N108</f>
        <v>9</v>
      </c>
      <c r="Q108" s="73">
        <f>O108+P108</f>
        <v>9</v>
      </c>
    </row>
    <row r="109" spans="1:17" ht="17.25" customHeight="1" x14ac:dyDescent="0.25">
      <c r="A109" s="40" t="s">
        <v>51</v>
      </c>
      <c r="B109" s="35"/>
      <c r="C109" s="35" t="s">
        <v>46</v>
      </c>
      <c r="D109" s="35" t="s">
        <v>46</v>
      </c>
      <c r="E109" s="35"/>
      <c r="F109" s="35"/>
      <c r="G109" s="44">
        <f>G110</f>
        <v>446.9</v>
      </c>
      <c r="I109" s="44">
        <f>I110</f>
        <v>1379.9</v>
      </c>
      <c r="K109" s="44">
        <f>K110</f>
        <v>1294.9000000000001</v>
      </c>
      <c r="L109" s="56"/>
      <c r="M109" s="44">
        <f>M110</f>
        <v>1294.9000000000001</v>
      </c>
      <c r="N109" s="56"/>
      <c r="O109" s="72">
        <f>O110</f>
        <v>1294.9000000000001</v>
      </c>
      <c r="Q109" s="72">
        <f>Q110</f>
        <v>1294.9000000000001</v>
      </c>
    </row>
    <row r="110" spans="1:17" x14ac:dyDescent="0.25">
      <c r="A110" s="19" t="s">
        <v>222</v>
      </c>
      <c r="B110" s="38"/>
      <c r="C110" s="38" t="s">
        <v>46</v>
      </c>
      <c r="D110" s="38" t="s">
        <v>46</v>
      </c>
      <c r="E110" s="38" t="s">
        <v>221</v>
      </c>
      <c r="F110" s="38"/>
      <c r="G110" s="43">
        <f>G111+G112</f>
        <v>446.9</v>
      </c>
      <c r="I110" s="43">
        <f>I111+I112</f>
        <v>1379.9</v>
      </c>
      <c r="K110" s="43">
        <f>K111+K112</f>
        <v>1294.9000000000001</v>
      </c>
      <c r="L110" s="56"/>
      <c r="M110" s="43">
        <f>M111+M112</f>
        <v>1294.9000000000001</v>
      </c>
      <c r="N110" s="56"/>
      <c r="O110" s="73">
        <f>O111+O112</f>
        <v>1294.9000000000001</v>
      </c>
      <c r="Q110" s="73">
        <f>Q111+Q112</f>
        <v>1294.9000000000001</v>
      </c>
    </row>
    <row r="111" spans="1:17" x14ac:dyDescent="0.25">
      <c r="A111" s="19" t="s">
        <v>204</v>
      </c>
      <c r="B111" s="38"/>
      <c r="C111" s="38" t="s">
        <v>46</v>
      </c>
      <c r="D111" s="38" t="s">
        <v>46</v>
      </c>
      <c r="E111" s="38" t="s">
        <v>221</v>
      </c>
      <c r="F111" s="38" t="s">
        <v>205</v>
      </c>
      <c r="G111" s="43">
        <v>366.9</v>
      </c>
      <c r="H111" s="56">
        <f>300+543+90</f>
        <v>933</v>
      </c>
      <c r="I111" s="43">
        <f>G111+H111</f>
        <v>1299.9000000000001</v>
      </c>
      <c r="J111" s="56">
        <v>-85</v>
      </c>
      <c r="K111" s="43">
        <f>I111+J111</f>
        <v>1214.9000000000001</v>
      </c>
      <c r="L111" s="56"/>
      <c r="M111" s="43">
        <f>K111+L111</f>
        <v>1214.9000000000001</v>
      </c>
      <c r="N111" s="56"/>
      <c r="O111" s="73">
        <f>M111+N111</f>
        <v>1214.9000000000001</v>
      </c>
      <c r="Q111" s="73">
        <f>O111+P111</f>
        <v>1214.9000000000001</v>
      </c>
    </row>
    <row r="112" spans="1:17" ht="15" customHeight="1" x14ac:dyDescent="0.25">
      <c r="A112" s="19" t="s">
        <v>224</v>
      </c>
      <c r="B112" s="38"/>
      <c r="C112" s="38" t="s">
        <v>46</v>
      </c>
      <c r="D112" s="38" t="s">
        <v>46</v>
      </c>
      <c r="E112" s="38" t="s">
        <v>221</v>
      </c>
      <c r="F112" s="38" t="s">
        <v>210</v>
      </c>
      <c r="G112" s="43">
        <v>80</v>
      </c>
      <c r="I112" s="43">
        <f>G112+H112</f>
        <v>80</v>
      </c>
      <c r="K112" s="43">
        <f>I112+J112</f>
        <v>80</v>
      </c>
      <c r="L112" s="56"/>
      <c r="M112" s="43">
        <f>K112+L112</f>
        <v>80</v>
      </c>
      <c r="N112" s="56"/>
      <c r="O112" s="73">
        <f>M112+N112</f>
        <v>80</v>
      </c>
      <c r="Q112" s="73">
        <f>O112+P112</f>
        <v>80</v>
      </c>
    </row>
    <row r="113" spans="1:17" x14ac:dyDescent="0.25">
      <c r="A113" s="40" t="s">
        <v>55</v>
      </c>
      <c r="B113" s="35"/>
      <c r="C113" s="35" t="s">
        <v>56</v>
      </c>
      <c r="D113" s="35"/>
      <c r="E113" s="35"/>
      <c r="F113" s="35"/>
      <c r="G113" s="44">
        <f>G117+G122</f>
        <v>3325.63</v>
      </c>
      <c r="I113" s="44">
        <f>I117+I122</f>
        <v>3325.63</v>
      </c>
      <c r="K113" s="44">
        <f>K117+K122</f>
        <v>3325.63</v>
      </c>
      <c r="L113" s="56"/>
      <c r="M113" s="44">
        <f>M117+M122+M114</f>
        <v>5977.95</v>
      </c>
      <c r="N113" s="56"/>
      <c r="O113" s="72">
        <f>O117+O122+O114</f>
        <v>5977.95</v>
      </c>
      <c r="Q113" s="72">
        <f>Q117+Q122+Q114</f>
        <v>5783.95</v>
      </c>
    </row>
    <row r="114" spans="1:17" x14ac:dyDescent="0.25">
      <c r="A114" s="40" t="s">
        <v>80</v>
      </c>
      <c r="B114" s="35"/>
      <c r="C114" s="35" t="s">
        <v>56</v>
      </c>
      <c r="D114" s="35" t="s">
        <v>17</v>
      </c>
      <c r="E114" s="35"/>
      <c r="F114" s="35"/>
      <c r="G114" s="44"/>
      <c r="H114" s="57"/>
      <c r="I114" s="44"/>
      <c r="J114" s="57"/>
      <c r="K114" s="44"/>
      <c r="L114" s="57"/>
      <c r="M114" s="44">
        <f>M115</f>
        <v>44</v>
      </c>
      <c r="N114" s="57"/>
      <c r="O114" s="72">
        <f>O115</f>
        <v>44</v>
      </c>
      <c r="Q114" s="72">
        <f>Q115</f>
        <v>44</v>
      </c>
    </row>
    <row r="115" spans="1:17" ht="17.25" customHeight="1" x14ac:dyDescent="0.25">
      <c r="A115" s="19" t="s">
        <v>506</v>
      </c>
      <c r="B115" s="38"/>
      <c r="C115" s="38" t="s">
        <v>56</v>
      </c>
      <c r="D115" s="38" t="s">
        <v>17</v>
      </c>
      <c r="E115" s="38" t="s">
        <v>505</v>
      </c>
      <c r="F115" s="38"/>
      <c r="G115" s="43"/>
      <c r="I115" s="43"/>
      <c r="K115" s="43"/>
      <c r="L115" s="56"/>
      <c r="M115" s="43">
        <f>M116</f>
        <v>44</v>
      </c>
      <c r="N115" s="56"/>
      <c r="O115" s="73">
        <f>O116</f>
        <v>44</v>
      </c>
      <c r="Q115" s="73">
        <f>Q116</f>
        <v>44</v>
      </c>
    </row>
    <row r="116" spans="1:17" x14ac:dyDescent="0.25">
      <c r="A116" s="19" t="s">
        <v>224</v>
      </c>
      <c r="B116" s="38"/>
      <c r="C116" s="38" t="s">
        <v>56</v>
      </c>
      <c r="D116" s="38" t="s">
        <v>17</v>
      </c>
      <c r="E116" s="38" t="s">
        <v>505</v>
      </c>
      <c r="F116" s="38" t="s">
        <v>210</v>
      </c>
      <c r="G116" s="43"/>
      <c r="I116" s="43"/>
      <c r="K116" s="43"/>
      <c r="L116" s="56">
        <v>44</v>
      </c>
      <c r="M116" s="43">
        <f>K116+L116</f>
        <v>44</v>
      </c>
      <c r="N116" s="56"/>
      <c r="O116" s="73">
        <f>M116+N116</f>
        <v>44</v>
      </c>
      <c r="Q116" s="73">
        <f>O116+P116</f>
        <v>44</v>
      </c>
    </row>
    <row r="117" spans="1:17" x14ac:dyDescent="0.25">
      <c r="A117" s="40" t="s">
        <v>59</v>
      </c>
      <c r="B117" s="35"/>
      <c r="C117" s="35" t="s">
        <v>56</v>
      </c>
      <c r="D117" s="35" t="s">
        <v>56</v>
      </c>
      <c r="E117" s="35"/>
      <c r="F117" s="35"/>
      <c r="G117" s="44">
        <f>G118+G120</f>
        <v>810</v>
      </c>
      <c r="I117" s="44">
        <f>I118+I120</f>
        <v>810</v>
      </c>
      <c r="K117" s="44">
        <f>K118+K120</f>
        <v>810</v>
      </c>
      <c r="L117" s="56"/>
      <c r="M117" s="44">
        <f>M118+M120</f>
        <v>810</v>
      </c>
      <c r="N117" s="56"/>
      <c r="O117" s="72">
        <f>O118+O120</f>
        <v>810</v>
      </c>
      <c r="Q117" s="72">
        <f>Q118+Q120</f>
        <v>810</v>
      </c>
    </row>
    <row r="118" spans="1:17" x14ac:dyDescent="0.25">
      <c r="A118" s="19" t="s">
        <v>60</v>
      </c>
      <c r="B118" s="38"/>
      <c r="C118" s="38" t="s">
        <v>56</v>
      </c>
      <c r="D118" s="38" t="s">
        <v>56</v>
      </c>
      <c r="E118" s="38" t="s">
        <v>223</v>
      </c>
      <c r="F118" s="38"/>
      <c r="G118" s="43">
        <f>G119</f>
        <v>680</v>
      </c>
      <c r="I118" s="43">
        <f>I119</f>
        <v>680</v>
      </c>
      <c r="K118" s="43">
        <f>K119</f>
        <v>680</v>
      </c>
      <c r="L118" s="56"/>
      <c r="M118" s="43">
        <f>M119</f>
        <v>680</v>
      </c>
      <c r="N118" s="56"/>
      <c r="O118" s="73">
        <f>O119</f>
        <v>680</v>
      </c>
      <c r="Q118" s="73">
        <f>Q119</f>
        <v>680</v>
      </c>
    </row>
    <row r="119" spans="1:17" ht="15.75" customHeight="1" x14ac:dyDescent="0.25">
      <c r="A119" s="41" t="s">
        <v>224</v>
      </c>
      <c r="B119" s="38"/>
      <c r="C119" s="38" t="s">
        <v>56</v>
      </c>
      <c r="D119" s="38" t="s">
        <v>56</v>
      </c>
      <c r="E119" s="38" t="s">
        <v>223</v>
      </c>
      <c r="F119" s="38" t="s">
        <v>210</v>
      </c>
      <c r="G119" s="43">
        <v>680</v>
      </c>
      <c r="I119" s="43">
        <f>G119+H119</f>
        <v>680</v>
      </c>
      <c r="K119" s="43">
        <f>I119+J119</f>
        <v>680</v>
      </c>
      <c r="L119" s="56"/>
      <c r="M119" s="43">
        <f>K119+L119</f>
        <v>680</v>
      </c>
      <c r="N119" s="56"/>
      <c r="O119" s="73">
        <f>M119+N119</f>
        <v>680</v>
      </c>
      <c r="Q119" s="73">
        <f>O119+P119</f>
        <v>680</v>
      </c>
    </row>
    <row r="120" spans="1:17" x14ac:dyDescent="0.25">
      <c r="A120" s="19" t="s">
        <v>258</v>
      </c>
      <c r="B120" s="38"/>
      <c r="C120" s="38" t="s">
        <v>56</v>
      </c>
      <c r="D120" s="38" t="s">
        <v>56</v>
      </c>
      <c r="E120" s="38" t="s">
        <v>257</v>
      </c>
      <c r="F120" s="38"/>
      <c r="G120" s="43">
        <f>G121</f>
        <v>130</v>
      </c>
      <c r="I120" s="43">
        <f>I121</f>
        <v>130</v>
      </c>
      <c r="K120" s="43">
        <f>K121</f>
        <v>130</v>
      </c>
      <c r="L120" s="56"/>
      <c r="M120" s="43">
        <f>M121</f>
        <v>130</v>
      </c>
      <c r="N120" s="56"/>
      <c r="O120" s="73">
        <f>O121</f>
        <v>130</v>
      </c>
      <c r="Q120" s="73">
        <f>Q121</f>
        <v>130</v>
      </c>
    </row>
    <row r="121" spans="1:17" x14ac:dyDescent="0.25">
      <c r="A121" s="19" t="s">
        <v>274</v>
      </c>
      <c r="B121" s="38"/>
      <c r="C121" s="38" t="s">
        <v>56</v>
      </c>
      <c r="D121" s="38" t="s">
        <v>56</v>
      </c>
      <c r="E121" s="38" t="s">
        <v>257</v>
      </c>
      <c r="F121" s="38" t="s">
        <v>275</v>
      </c>
      <c r="G121" s="43">
        <v>130</v>
      </c>
      <c r="I121" s="43">
        <f>G121+H121</f>
        <v>130</v>
      </c>
      <c r="K121" s="43">
        <f>I121+J121</f>
        <v>130</v>
      </c>
      <c r="L121" s="56"/>
      <c r="M121" s="43">
        <f>K121+L121</f>
        <v>130</v>
      </c>
      <c r="N121" s="56"/>
      <c r="O121" s="73">
        <f>M121+N121</f>
        <v>130</v>
      </c>
      <c r="Q121" s="73">
        <f>O121+P121</f>
        <v>130</v>
      </c>
    </row>
    <row r="122" spans="1:17" x14ac:dyDescent="0.25">
      <c r="A122" s="40" t="s">
        <v>62</v>
      </c>
      <c r="B122" s="35"/>
      <c r="C122" s="35" t="s">
        <v>56</v>
      </c>
      <c r="D122" s="35" t="s">
        <v>63</v>
      </c>
      <c r="E122" s="35"/>
      <c r="F122" s="35"/>
      <c r="G122" s="44">
        <f>G123+G127+G129+G125+G131</f>
        <v>2515.63</v>
      </c>
      <c r="I122" s="44">
        <f>I123+I127+I129+I125+I131</f>
        <v>2515.63</v>
      </c>
      <c r="K122" s="44">
        <f>K123+K127+K129+K125+K131</f>
        <v>2515.63</v>
      </c>
      <c r="L122" s="56"/>
      <c r="M122" s="44">
        <f>M123+M127+M129+M125+M131</f>
        <v>5123.95</v>
      </c>
      <c r="N122" s="56"/>
      <c r="O122" s="72">
        <f>O123+O127+O129+O125+O131</f>
        <v>5123.95</v>
      </c>
      <c r="Q122" s="72">
        <f>Q123+Q127+Q129+Q125+Q131</f>
        <v>4929.95</v>
      </c>
    </row>
    <row r="123" spans="1:17" x14ac:dyDescent="0.25">
      <c r="A123" s="19" t="s">
        <v>60</v>
      </c>
      <c r="B123" s="38"/>
      <c r="C123" s="38" t="s">
        <v>56</v>
      </c>
      <c r="D123" s="38" t="s">
        <v>63</v>
      </c>
      <c r="E123" s="38" t="s">
        <v>225</v>
      </c>
      <c r="F123" s="38"/>
      <c r="G123" s="43">
        <f>G124</f>
        <v>470</v>
      </c>
      <c r="I123" s="43">
        <f>I124</f>
        <v>470</v>
      </c>
      <c r="K123" s="43">
        <f>K124</f>
        <v>470</v>
      </c>
      <c r="L123" s="56"/>
      <c r="M123" s="43">
        <f>M124</f>
        <v>470</v>
      </c>
      <c r="N123" s="56"/>
      <c r="O123" s="73">
        <f>O124</f>
        <v>470</v>
      </c>
      <c r="Q123" s="73">
        <f>Q124</f>
        <v>470</v>
      </c>
    </row>
    <row r="124" spans="1:17" x14ac:dyDescent="0.25">
      <c r="A124" s="41" t="s">
        <v>224</v>
      </c>
      <c r="B124" s="38"/>
      <c r="C124" s="38" t="s">
        <v>56</v>
      </c>
      <c r="D124" s="38" t="s">
        <v>63</v>
      </c>
      <c r="E124" s="38" t="s">
        <v>225</v>
      </c>
      <c r="F124" s="38" t="s">
        <v>210</v>
      </c>
      <c r="G124" s="43">
        <v>470</v>
      </c>
      <c r="I124" s="43">
        <f>G124+H124</f>
        <v>470</v>
      </c>
      <c r="K124" s="43">
        <f>I124+J124</f>
        <v>470</v>
      </c>
      <c r="L124" s="56"/>
      <c r="M124" s="43">
        <f>K124+L124</f>
        <v>470</v>
      </c>
      <c r="N124" s="56"/>
      <c r="O124" s="73">
        <f>M124+N124</f>
        <v>470</v>
      </c>
      <c r="Q124" s="73">
        <f>O124+P124</f>
        <v>470</v>
      </c>
    </row>
    <row r="125" spans="1:17" x14ac:dyDescent="0.25">
      <c r="A125" s="41" t="s">
        <v>385</v>
      </c>
      <c r="B125" s="38"/>
      <c r="C125" s="38" t="s">
        <v>56</v>
      </c>
      <c r="D125" s="38" t="s">
        <v>63</v>
      </c>
      <c r="E125" s="38" t="s">
        <v>384</v>
      </c>
      <c r="F125" s="38"/>
      <c r="G125" s="43">
        <f>G126</f>
        <v>330</v>
      </c>
      <c r="I125" s="43">
        <f>I126</f>
        <v>330</v>
      </c>
      <c r="K125" s="43">
        <f>K126</f>
        <v>330</v>
      </c>
      <c r="L125" s="56"/>
      <c r="M125" s="43">
        <f>M126</f>
        <v>330</v>
      </c>
      <c r="N125" s="56"/>
      <c r="O125" s="73">
        <f>O126</f>
        <v>330</v>
      </c>
      <c r="Q125" s="73">
        <f>Q126</f>
        <v>330</v>
      </c>
    </row>
    <row r="126" spans="1:17" x14ac:dyDescent="0.25">
      <c r="A126" s="41" t="s">
        <v>224</v>
      </c>
      <c r="B126" s="38"/>
      <c r="C126" s="38" t="s">
        <v>56</v>
      </c>
      <c r="D126" s="38" t="s">
        <v>63</v>
      </c>
      <c r="E126" s="38" t="s">
        <v>384</v>
      </c>
      <c r="F126" s="38" t="s">
        <v>210</v>
      </c>
      <c r="G126" s="43">
        <v>330</v>
      </c>
      <c r="I126" s="43">
        <f>G126+H126</f>
        <v>330</v>
      </c>
      <c r="K126" s="43">
        <f>I126+J126</f>
        <v>330</v>
      </c>
      <c r="L126" s="56"/>
      <c r="M126" s="43">
        <f>K126+L126</f>
        <v>330</v>
      </c>
      <c r="N126" s="56"/>
      <c r="O126" s="73">
        <f>M126+N126</f>
        <v>330</v>
      </c>
      <c r="Q126" s="73">
        <f>O126+P126</f>
        <v>330</v>
      </c>
    </row>
    <row r="127" spans="1:17" ht="31.5" customHeight="1" x14ac:dyDescent="0.25">
      <c r="A127" s="19" t="s">
        <v>356</v>
      </c>
      <c r="B127" s="38"/>
      <c r="C127" s="38" t="s">
        <v>56</v>
      </c>
      <c r="D127" s="38" t="s">
        <v>63</v>
      </c>
      <c r="E127" s="38" t="s">
        <v>313</v>
      </c>
      <c r="F127" s="38"/>
      <c r="G127" s="43">
        <f>G128</f>
        <v>415.63</v>
      </c>
      <c r="I127" s="43">
        <f>I128</f>
        <v>415.63</v>
      </c>
      <c r="K127" s="43">
        <f>K128</f>
        <v>415.63</v>
      </c>
      <c r="L127" s="56"/>
      <c r="M127" s="43">
        <f>M128</f>
        <v>3023.95</v>
      </c>
      <c r="N127" s="56"/>
      <c r="O127" s="73">
        <f>O128</f>
        <v>3023.95</v>
      </c>
      <c r="Q127" s="73">
        <f>Q128</f>
        <v>3023.95</v>
      </c>
    </row>
    <row r="128" spans="1:17" x14ac:dyDescent="0.25">
      <c r="A128" s="41" t="s">
        <v>224</v>
      </c>
      <c r="B128" s="38"/>
      <c r="C128" s="38" t="s">
        <v>56</v>
      </c>
      <c r="D128" s="38" t="s">
        <v>63</v>
      </c>
      <c r="E128" s="38" t="s">
        <v>313</v>
      </c>
      <c r="F128" s="38" t="s">
        <v>210</v>
      </c>
      <c r="G128" s="43">
        <v>415.63</v>
      </c>
      <c r="I128" s="43">
        <f>G128+H128</f>
        <v>415.63</v>
      </c>
      <c r="K128" s="43">
        <f>I128+J128</f>
        <v>415.63</v>
      </c>
      <c r="L128" s="56">
        <f>1321.32+1287</f>
        <v>2608.3199999999997</v>
      </c>
      <c r="M128" s="43">
        <f>K128+L128</f>
        <v>3023.95</v>
      </c>
      <c r="N128" s="56"/>
      <c r="O128" s="73">
        <f>M128+N128</f>
        <v>3023.95</v>
      </c>
      <c r="Q128" s="73">
        <f>O128+P128</f>
        <v>3023.95</v>
      </c>
    </row>
    <row r="129" spans="1:17" ht="31.5" customHeight="1" x14ac:dyDescent="0.25">
      <c r="A129" s="19" t="s">
        <v>357</v>
      </c>
      <c r="B129" s="38"/>
      <c r="C129" s="38" t="s">
        <v>56</v>
      </c>
      <c r="D129" s="38" t="s">
        <v>63</v>
      </c>
      <c r="E129" s="38" t="s">
        <v>283</v>
      </c>
      <c r="F129" s="38"/>
      <c r="G129" s="43">
        <f>G130</f>
        <v>300</v>
      </c>
      <c r="I129" s="43">
        <f>I130</f>
        <v>300</v>
      </c>
      <c r="K129" s="43">
        <f>K130</f>
        <v>300</v>
      </c>
      <c r="L129" s="56"/>
      <c r="M129" s="43">
        <f>M130</f>
        <v>300</v>
      </c>
      <c r="N129" s="56"/>
      <c r="O129" s="73">
        <f>O130</f>
        <v>300</v>
      </c>
      <c r="Q129" s="73">
        <f>Q130</f>
        <v>300</v>
      </c>
    </row>
    <row r="130" spans="1:17" x14ac:dyDescent="0.25">
      <c r="A130" s="41" t="s">
        <v>224</v>
      </c>
      <c r="B130" s="38"/>
      <c r="C130" s="38" t="s">
        <v>56</v>
      </c>
      <c r="D130" s="38" t="s">
        <v>63</v>
      </c>
      <c r="E130" s="38" t="s">
        <v>283</v>
      </c>
      <c r="F130" s="38" t="s">
        <v>210</v>
      </c>
      <c r="G130" s="43">
        <v>300</v>
      </c>
      <c r="I130" s="43">
        <f>G130+H130</f>
        <v>300</v>
      </c>
      <c r="K130" s="43">
        <f>I130+J130</f>
        <v>300</v>
      </c>
      <c r="L130" s="56"/>
      <c r="M130" s="43">
        <f>K130+L130</f>
        <v>300</v>
      </c>
      <c r="N130" s="56"/>
      <c r="O130" s="73">
        <f>M130+N130</f>
        <v>300</v>
      </c>
      <c r="Q130" s="73">
        <f>O130+P130</f>
        <v>300</v>
      </c>
    </row>
    <row r="131" spans="1:17" ht="17.25" customHeight="1" x14ac:dyDescent="0.25">
      <c r="A131" s="19" t="s">
        <v>397</v>
      </c>
      <c r="B131" s="38"/>
      <c r="C131" s="38" t="s">
        <v>56</v>
      </c>
      <c r="D131" s="38" t="s">
        <v>63</v>
      </c>
      <c r="E131" s="38" t="s">
        <v>398</v>
      </c>
      <c r="F131" s="38"/>
      <c r="G131" s="43">
        <f>G132</f>
        <v>1000</v>
      </c>
      <c r="I131" s="43">
        <f>I132</f>
        <v>1000</v>
      </c>
      <c r="K131" s="43">
        <f>K132</f>
        <v>1000</v>
      </c>
      <c r="L131" s="56"/>
      <c r="M131" s="43">
        <f>M132</f>
        <v>1000</v>
      </c>
      <c r="N131" s="56"/>
      <c r="O131" s="73">
        <f>O132</f>
        <v>1000</v>
      </c>
      <c r="Q131" s="73">
        <f>Q132</f>
        <v>806</v>
      </c>
    </row>
    <row r="132" spans="1:17" ht="16.5" customHeight="1" x14ac:dyDescent="0.25">
      <c r="A132" s="41" t="s">
        <v>224</v>
      </c>
      <c r="B132" s="38"/>
      <c r="C132" s="38" t="s">
        <v>56</v>
      </c>
      <c r="D132" s="38" t="s">
        <v>63</v>
      </c>
      <c r="E132" s="38" t="s">
        <v>398</v>
      </c>
      <c r="F132" s="38" t="s">
        <v>210</v>
      </c>
      <c r="G132" s="43">
        <v>1000</v>
      </c>
      <c r="I132" s="43">
        <f>G132+H132</f>
        <v>1000</v>
      </c>
      <c r="K132" s="43">
        <f>I132+J132</f>
        <v>1000</v>
      </c>
      <c r="L132" s="56"/>
      <c r="M132" s="43">
        <f>K132+L132</f>
        <v>1000</v>
      </c>
      <c r="N132" s="56"/>
      <c r="O132" s="73">
        <f>M132+N132</f>
        <v>1000</v>
      </c>
      <c r="Q132" s="73">
        <f>O132+P132-194</f>
        <v>806</v>
      </c>
    </row>
    <row r="133" spans="1:17" x14ac:dyDescent="0.25">
      <c r="A133" s="40" t="s">
        <v>227</v>
      </c>
      <c r="B133" s="35"/>
      <c r="C133" s="35" t="s">
        <v>43</v>
      </c>
      <c r="D133" s="35"/>
      <c r="E133" s="35"/>
      <c r="F133" s="35"/>
      <c r="G133" s="44">
        <f>G134</f>
        <v>800</v>
      </c>
      <c r="I133" s="44">
        <f>I134</f>
        <v>800</v>
      </c>
      <c r="K133" s="44">
        <f>K134</f>
        <v>800</v>
      </c>
      <c r="L133" s="56"/>
      <c r="M133" s="44">
        <f>M134</f>
        <v>800</v>
      </c>
      <c r="N133" s="56"/>
      <c r="O133" s="72">
        <f>O134</f>
        <v>800</v>
      </c>
      <c r="Q133" s="72">
        <f>Q134</f>
        <v>800</v>
      </c>
    </row>
    <row r="134" spans="1:17" x14ac:dyDescent="0.25">
      <c r="A134" s="40" t="s">
        <v>148</v>
      </c>
      <c r="B134" s="35"/>
      <c r="C134" s="35" t="s">
        <v>43</v>
      </c>
      <c r="D134" s="35" t="s">
        <v>15</v>
      </c>
      <c r="E134" s="35"/>
      <c r="F134" s="35"/>
      <c r="G134" s="44">
        <f>G135</f>
        <v>800</v>
      </c>
      <c r="I134" s="44">
        <f>I135</f>
        <v>800</v>
      </c>
      <c r="K134" s="44">
        <f>K135</f>
        <v>800</v>
      </c>
      <c r="L134" s="56"/>
      <c r="M134" s="44">
        <f>M135</f>
        <v>800</v>
      </c>
      <c r="N134" s="56"/>
      <c r="O134" s="72">
        <f>O135</f>
        <v>800</v>
      </c>
      <c r="Q134" s="72">
        <f>Q135</f>
        <v>800</v>
      </c>
    </row>
    <row r="135" spans="1:17" ht="17.25" customHeight="1" x14ac:dyDescent="0.25">
      <c r="A135" s="19" t="s">
        <v>228</v>
      </c>
      <c r="B135" s="38"/>
      <c r="C135" s="38" t="s">
        <v>43</v>
      </c>
      <c r="D135" s="38" t="s">
        <v>15</v>
      </c>
      <c r="E135" s="38" t="s">
        <v>226</v>
      </c>
      <c r="F135" s="38"/>
      <c r="G135" s="43">
        <f>G136</f>
        <v>800</v>
      </c>
      <c r="I135" s="43">
        <f>I136</f>
        <v>800</v>
      </c>
      <c r="K135" s="43">
        <f>K136</f>
        <v>800</v>
      </c>
      <c r="L135" s="56"/>
      <c r="M135" s="43">
        <f>M136</f>
        <v>800</v>
      </c>
      <c r="N135" s="56"/>
      <c r="O135" s="73">
        <f>O136</f>
        <v>800</v>
      </c>
      <c r="Q135" s="73">
        <f>Q136</f>
        <v>800</v>
      </c>
    </row>
    <row r="136" spans="1:17" x14ac:dyDescent="0.25">
      <c r="A136" s="41" t="s">
        <v>224</v>
      </c>
      <c r="B136" s="38"/>
      <c r="C136" s="38" t="s">
        <v>43</v>
      </c>
      <c r="D136" s="38" t="s">
        <v>15</v>
      </c>
      <c r="E136" s="38" t="s">
        <v>226</v>
      </c>
      <c r="F136" s="38" t="s">
        <v>210</v>
      </c>
      <c r="G136" s="43">
        <v>800</v>
      </c>
      <c r="I136" s="43">
        <f>G136+H136</f>
        <v>800</v>
      </c>
      <c r="K136" s="43">
        <f>I136+J136</f>
        <v>800</v>
      </c>
      <c r="L136" s="56"/>
      <c r="M136" s="43">
        <f>K136+L136</f>
        <v>800</v>
      </c>
      <c r="N136" s="56"/>
      <c r="O136" s="73">
        <f>M136+N136</f>
        <v>800</v>
      </c>
      <c r="Q136" s="73">
        <f>O136+P136</f>
        <v>800</v>
      </c>
    </row>
    <row r="137" spans="1:17" x14ac:dyDescent="0.25">
      <c r="A137" s="40" t="s">
        <v>174</v>
      </c>
      <c r="B137" s="35"/>
      <c r="C137" s="35" t="s">
        <v>68</v>
      </c>
      <c r="D137" s="35"/>
      <c r="E137" s="35"/>
      <c r="F137" s="35"/>
      <c r="G137" s="44">
        <f>G138+G141</f>
        <v>4934.12</v>
      </c>
      <c r="I137" s="44">
        <f>I138+I141</f>
        <v>4934.12</v>
      </c>
      <c r="K137" s="44">
        <f>K138+K141</f>
        <v>4934.12</v>
      </c>
      <c r="L137" s="56"/>
      <c r="M137" s="44">
        <f>M138+M141</f>
        <v>7091.85</v>
      </c>
      <c r="N137" s="56"/>
      <c r="O137" s="72">
        <f>O138+O141</f>
        <v>7209.6500000000005</v>
      </c>
      <c r="Q137" s="72">
        <f>Q138+Q141</f>
        <v>7209.6500000000005</v>
      </c>
    </row>
    <row r="138" spans="1:17" x14ac:dyDescent="0.25">
      <c r="A138" s="40" t="s">
        <v>69</v>
      </c>
      <c r="B138" s="35"/>
      <c r="C138" s="35" t="s">
        <v>68</v>
      </c>
      <c r="D138" s="35" t="s">
        <v>20</v>
      </c>
      <c r="E138" s="35"/>
      <c r="F138" s="35"/>
      <c r="G138" s="44">
        <f>G139</f>
        <v>370</v>
      </c>
      <c r="I138" s="44">
        <f>I139</f>
        <v>370</v>
      </c>
      <c r="K138" s="44">
        <f>K139</f>
        <v>370</v>
      </c>
      <c r="L138" s="56"/>
      <c r="M138" s="44">
        <f>M139</f>
        <v>370</v>
      </c>
      <c r="N138" s="56"/>
      <c r="O138" s="72">
        <f>O139</f>
        <v>370</v>
      </c>
      <c r="Q138" s="72">
        <f>Q139</f>
        <v>370</v>
      </c>
    </row>
    <row r="139" spans="1:17" x14ac:dyDescent="0.25">
      <c r="A139" s="19" t="s">
        <v>72</v>
      </c>
      <c r="B139" s="38"/>
      <c r="C139" s="38" t="s">
        <v>68</v>
      </c>
      <c r="D139" s="38" t="s">
        <v>20</v>
      </c>
      <c r="E139" s="38" t="s">
        <v>229</v>
      </c>
      <c r="F139" s="38"/>
      <c r="G139" s="43">
        <f>G140</f>
        <v>370</v>
      </c>
      <c r="I139" s="43">
        <f>I140</f>
        <v>370</v>
      </c>
      <c r="K139" s="43">
        <f>K140</f>
        <v>370</v>
      </c>
      <c r="L139" s="56"/>
      <c r="M139" s="43">
        <f>M140</f>
        <v>370</v>
      </c>
      <c r="N139" s="56"/>
      <c r="O139" s="73">
        <f>O140</f>
        <v>370</v>
      </c>
      <c r="Q139" s="73">
        <f>Q140</f>
        <v>370</v>
      </c>
    </row>
    <row r="140" spans="1:17" x14ac:dyDescent="0.25">
      <c r="A140" s="41" t="s">
        <v>224</v>
      </c>
      <c r="B140" s="38"/>
      <c r="C140" s="38" t="s">
        <v>68</v>
      </c>
      <c r="D140" s="38" t="s">
        <v>20</v>
      </c>
      <c r="E140" s="38" t="s">
        <v>229</v>
      </c>
      <c r="F140" s="38" t="s">
        <v>210</v>
      </c>
      <c r="G140" s="43">
        <v>370</v>
      </c>
      <c r="I140" s="43">
        <f>G140+H140</f>
        <v>370</v>
      </c>
      <c r="K140" s="43">
        <f>I140+J140</f>
        <v>370</v>
      </c>
      <c r="L140" s="56"/>
      <c r="M140" s="43">
        <f>K140+L140</f>
        <v>370</v>
      </c>
      <c r="N140" s="56"/>
      <c r="O140" s="73">
        <f>M140+N140</f>
        <v>370</v>
      </c>
      <c r="Q140" s="73">
        <f>O140+P140</f>
        <v>370</v>
      </c>
    </row>
    <row r="141" spans="1:17" x14ac:dyDescent="0.25">
      <c r="A141" s="40" t="s">
        <v>74</v>
      </c>
      <c r="B141" s="35"/>
      <c r="C141" s="35" t="s">
        <v>68</v>
      </c>
      <c r="D141" s="35" t="s">
        <v>24</v>
      </c>
      <c r="E141" s="35"/>
      <c r="F141" s="35"/>
      <c r="G141" s="44">
        <f>G146+G150</f>
        <v>4564.12</v>
      </c>
      <c r="I141" s="44">
        <f>I146+I150</f>
        <v>4564.12</v>
      </c>
      <c r="K141" s="44">
        <f>K146+K150</f>
        <v>4564.12</v>
      </c>
      <c r="L141" s="56"/>
      <c r="M141" s="44">
        <f>M146+M150+M144</f>
        <v>6721.85</v>
      </c>
      <c r="N141" s="56"/>
      <c r="O141" s="72">
        <f>O146+O150+O144+O142</f>
        <v>6839.6500000000005</v>
      </c>
      <c r="Q141" s="72">
        <f>Q146+Q150+Q144+Q142</f>
        <v>6839.6500000000005</v>
      </c>
    </row>
    <row r="142" spans="1:17" ht="31.5" x14ac:dyDescent="0.25">
      <c r="A142" s="19" t="s">
        <v>627</v>
      </c>
      <c r="B142" s="38"/>
      <c r="C142" s="38" t="s">
        <v>68</v>
      </c>
      <c r="D142" s="38" t="s">
        <v>24</v>
      </c>
      <c r="E142" s="38" t="s">
        <v>568</v>
      </c>
      <c r="F142" s="38"/>
      <c r="G142" s="43"/>
      <c r="I142" s="43"/>
      <c r="K142" s="43"/>
      <c r="L142" s="56"/>
      <c r="M142" s="43"/>
      <c r="N142" s="56"/>
      <c r="O142" s="73">
        <f>O143</f>
        <v>117.8</v>
      </c>
      <c r="Q142" s="73">
        <f>Q143</f>
        <v>117.8</v>
      </c>
    </row>
    <row r="143" spans="1:17" ht="31.5" x14ac:dyDescent="0.25">
      <c r="A143" s="19" t="s">
        <v>285</v>
      </c>
      <c r="B143" s="38"/>
      <c r="C143" s="38" t="s">
        <v>68</v>
      </c>
      <c r="D143" s="38" t="s">
        <v>24</v>
      </c>
      <c r="E143" s="38" t="s">
        <v>568</v>
      </c>
      <c r="F143" s="38" t="s">
        <v>284</v>
      </c>
      <c r="G143" s="43"/>
      <c r="I143" s="43"/>
      <c r="K143" s="43"/>
      <c r="L143" s="56"/>
      <c r="M143" s="43"/>
      <c r="N143" s="56">
        <v>117.8</v>
      </c>
      <c r="O143" s="73">
        <f>M143+N143</f>
        <v>117.8</v>
      </c>
      <c r="Q143" s="73">
        <f>O143+P143</f>
        <v>117.8</v>
      </c>
    </row>
    <row r="144" spans="1:17" ht="29.25" customHeight="1" x14ac:dyDescent="0.25">
      <c r="A144" s="19" t="s">
        <v>508</v>
      </c>
      <c r="B144" s="38"/>
      <c r="C144" s="38" t="s">
        <v>68</v>
      </c>
      <c r="D144" s="38" t="s">
        <v>24</v>
      </c>
      <c r="E144" s="38" t="s">
        <v>290</v>
      </c>
      <c r="F144" s="38"/>
      <c r="G144" s="43"/>
      <c r="I144" s="43"/>
      <c r="K144" s="43"/>
      <c r="L144" s="56"/>
      <c r="M144" s="43">
        <f>M145</f>
        <v>1708.9</v>
      </c>
      <c r="N144" s="56"/>
      <c r="O144" s="73">
        <f>O145</f>
        <v>1708.9</v>
      </c>
      <c r="Q144" s="73">
        <f>Q145</f>
        <v>1708.9</v>
      </c>
    </row>
    <row r="145" spans="1:17" x14ac:dyDescent="0.25">
      <c r="A145" s="19" t="s">
        <v>509</v>
      </c>
      <c r="B145" s="38"/>
      <c r="C145" s="38" t="s">
        <v>68</v>
      </c>
      <c r="D145" s="38" t="s">
        <v>24</v>
      </c>
      <c r="E145" s="38" t="s">
        <v>290</v>
      </c>
      <c r="F145" s="38" t="s">
        <v>507</v>
      </c>
      <c r="G145" s="43"/>
      <c r="I145" s="43"/>
      <c r="K145" s="43"/>
      <c r="L145" s="56">
        <v>1708.9</v>
      </c>
      <c r="M145" s="43">
        <f>L145+K145</f>
        <v>1708.9</v>
      </c>
      <c r="N145" s="56"/>
      <c r="O145" s="73">
        <f>N145+M145</f>
        <v>1708.9</v>
      </c>
      <c r="Q145" s="73">
        <f>P145+O145</f>
        <v>1708.9</v>
      </c>
    </row>
    <row r="146" spans="1:17" ht="30.75" customHeight="1" x14ac:dyDescent="0.25">
      <c r="A146" s="47" t="s">
        <v>379</v>
      </c>
      <c r="B146" s="38"/>
      <c r="C146" s="38" t="s">
        <v>68</v>
      </c>
      <c r="D146" s="38" t="s">
        <v>24</v>
      </c>
      <c r="E146" s="38" t="s">
        <v>320</v>
      </c>
      <c r="F146" s="38"/>
      <c r="G146" s="43">
        <f>G147+G148+G149</f>
        <v>632.6</v>
      </c>
      <c r="I146" s="43">
        <f>I147+I148+I149</f>
        <v>632.6</v>
      </c>
      <c r="K146" s="43">
        <f>K147+K148+K149</f>
        <v>632.6</v>
      </c>
      <c r="L146" s="56"/>
      <c r="M146" s="43">
        <f>M147+M148+M149</f>
        <v>632.6</v>
      </c>
      <c r="N146" s="56"/>
      <c r="O146" s="73">
        <f>O147+O148+O149</f>
        <v>632.6</v>
      </c>
      <c r="Q146" s="73">
        <f>Q147+Q148+Q149</f>
        <v>632.6</v>
      </c>
    </row>
    <row r="147" spans="1:17" x14ac:dyDescent="0.25">
      <c r="A147" s="19" t="s">
        <v>204</v>
      </c>
      <c r="B147" s="38"/>
      <c r="C147" s="38" t="s">
        <v>68</v>
      </c>
      <c r="D147" s="38" t="s">
        <v>24</v>
      </c>
      <c r="E147" s="38" t="s">
        <v>320</v>
      </c>
      <c r="F147" s="38" t="s">
        <v>205</v>
      </c>
      <c r="G147" s="43">
        <f>467.3+141.1</f>
        <v>608.4</v>
      </c>
      <c r="I147" s="43">
        <f>G147+H147</f>
        <v>608.4</v>
      </c>
      <c r="K147" s="43">
        <f>I147+J147</f>
        <v>608.4</v>
      </c>
      <c r="L147" s="56"/>
      <c r="M147" s="43">
        <f>K147+L147</f>
        <v>608.4</v>
      </c>
      <c r="N147" s="56"/>
      <c r="O147" s="73">
        <f>M147+N147</f>
        <v>608.4</v>
      </c>
      <c r="Q147" s="73">
        <f>O147+P147</f>
        <v>608.4</v>
      </c>
    </row>
    <row r="148" spans="1:17" ht="16.5" customHeight="1" x14ac:dyDescent="0.25">
      <c r="A148" s="19" t="s">
        <v>208</v>
      </c>
      <c r="B148" s="38"/>
      <c r="C148" s="38" t="s">
        <v>68</v>
      </c>
      <c r="D148" s="38" t="s">
        <v>24</v>
      </c>
      <c r="E148" s="38" t="s">
        <v>320</v>
      </c>
      <c r="F148" s="38" t="s">
        <v>209</v>
      </c>
      <c r="G148" s="43">
        <f>5+5+1+5</f>
        <v>16</v>
      </c>
      <c r="I148" s="43">
        <f>G148+H148</f>
        <v>16</v>
      </c>
      <c r="K148" s="43">
        <f>I148+J148</f>
        <v>16</v>
      </c>
      <c r="L148" s="56">
        <v>-5.5</v>
      </c>
      <c r="M148" s="43">
        <f>K148+L148</f>
        <v>10.5</v>
      </c>
      <c r="N148" s="56"/>
      <c r="O148" s="73">
        <f>M148+N148</f>
        <v>10.5</v>
      </c>
      <c r="Q148" s="73">
        <f>O148+P148</f>
        <v>10.5</v>
      </c>
    </row>
    <row r="149" spans="1:17" x14ac:dyDescent="0.25">
      <c r="A149" s="41" t="s">
        <v>224</v>
      </c>
      <c r="B149" s="38"/>
      <c r="C149" s="38" t="s">
        <v>68</v>
      </c>
      <c r="D149" s="38" t="s">
        <v>24</v>
      </c>
      <c r="E149" s="38" t="s">
        <v>320</v>
      </c>
      <c r="F149" s="38" t="s">
        <v>210</v>
      </c>
      <c r="G149" s="43">
        <f>8.2</f>
        <v>8.1999999999999993</v>
      </c>
      <c r="I149" s="43">
        <f>G149+H149</f>
        <v>8.1999999999999993</v>
      </c>
      <c r="K149" s="43">
        <f>I149+J149</f>
        <v>8.1999999999999993</v>
      </c>
      <c r="L149" s="56">
        <v>5.5</v>
      </c>
      <c r="M149" s="43">
        <f>K149+L149</f>
        <v>13.7</v>
      </c>
      <c r="N149" s="56"/>
      <c r="O149" s="73">
        <f>M149+N149</f>
        <v>13.7</v>
      </c>
      <c r="Q149" s="73">
        <f>O149+P149</f>
        <v>13.7</v>
      </c>
    </row>
    <row r="150" spans="1:17" ht="62.25" customHeight="1" x14ac:dyDescent="0.25">
      <c r="A150" s="19" t="s">
        <v>358</v>
      </c>
      <c r="B150" s="38"/>
      <c r="C150" s="38" t="s">
        <v>68</v>
      </c>
      <c r="D150" s="38" t="s">
        <v>24</v>
      </c>
      <c r="E150" s="38" t="s">
        <v>321</v>
      </c>
      <c r="F150" s="38"/>
      <c r="G150" s="43">
        <f>G151</f>
        <v>3931.52</v>
      </c>
      <c r="I150" s="43">
        <f>I151</f>
        <v>3931.52</v>
      </c>
      <c r="K150" s="43">
        <f>K151</f>
        <v>3931.52</v>
      </c>
      <c r="L150" s="56"/>
      <c r="M150" s="43">
        <f>M151</f>
        <v>4380.3500000000004</v>
      </c>
      <c r="N150" s="56"/>
      <c r="O150" s="73">
        <f>O151</f>
        <v>4380.3500000000004</v>
      </c>
      <c r="Q150" s="73">
        <f>Q151</f>
        <v>4380.3500000000004</v>
      </c>
    </row>
    <row r="151" spans="1:17" ht="31.5" x14ac:dyDescent="0.25">
      <c r="A151" s="19" t="s">
        <v>285</v>
      </c>
      <c r="B151" s="38"/>
      <c r="C151" s="38" t="s">
        <v>68</v>
      </c>
      <c r="D151" s="38" t="s">
        <v>24</v>
      </c>
      <c r="E151" s="38" t="s">
        <v>321</v>
      </c>
      <c r="F151" s="38" t="s">
        <v>284</v>
      </c>
      <c r="G151" s="43">
        <v>3931.52</v>
      </c>
      <c r="I151" s="43">
        <f>G151+H151</f>
        <v>3931.52</v>
      </c>
      <c r="K151" s="43">
        <f>I151+J151</f>
        <v>3931.52</v>
      </c>
      <c r="L151" s="56">
        <v>448.83</v>
      </c>
      <c r="M151" s="43">
        <f>K151+L151</f>
        <v>4380.3500000000004</v>
      </c>
      <c r="N151" s="56"/>
      <c r="O151" s="73">
        <f>M151+N151</f>
        <v>4380.3500000000004</v>
      </c>
      <c r="Q151" s="73">
        <f>O151+P151</f>
        <v>4380.3500000000004</v>
      </c>
    </row>
    <row r="152" spans="1:17" x14ac:dyDescent="0.25">
      <c r="A152" s="40" t="s">
        <v>231</v>
      </c>
      <c r="B152" s="35"/>
      <c r="C152" s="35" t="s">
        <v>107</v>
      </c>
      <c r="D152" s="35"/>
      <c r="E152" s="35"/>
      <c r="F152" s="35"/>
      <c r="G152" s="44">
        <f>G153</f>
        <v>600</v>
      </c>
      <c r="I152" s="44">
        <f>I153</f>
        <v>1100</v>
      </c>
      <c r="K152" s="44">
        <f>K153</f>
        <v>1100</v>
      </c>
      <c r="L152" s="56"/>
      <c r="M152" s="44">
        <f>M153+M156</f>
        <v>1128.81</v>
      </c>
      <c r="N152" s="56"/>
      <c r="O152" s="72">
        <f>O153+O156</f>
        <v>1128.81</v>
      </c>
      <c r="Q152" s="72">
        <f>Q153+Q156</f>
        <v>1128.81</v>
      </c>
    </row>
    <row r="153" spans="1:17" x14ac:dyDescent="0.25">
      <c r="A153" s="40" t="s">
        <v>197</v>
      </c>
      <c r="B153" s="35"/>
      <c r="C153" s="35" t="s">
        <v>107</v>
      </c>
      <c r="D153" s="35" t="s">
        <v>15</v>
      </c>
      <c r="E153" s="35"/>
      <c r="F153" s="35"/>
      <c r="G153" s="44">
        <f>G154</f>
        <v>600</v>
      </c>
      <c r="I153" s="44">
        <f>I154</f>
        <v>1100</v>
      </c>
      <c r="K153" s="44">
        <f>K154</f>
        <v>1100</v>
      </c>
      <c r="L153" s="56"/>
      <c r="M153" s="44">
        <f>M154</f>
        <v>1100</v>
      </c>
      <c r="N153" s="56"/>
      <c r="O153" s="72">
        <f>O154</f>
        <v>1100</v>
      </c>
      <c r="Q153" s="72">
        <f>Q154</f>
        <v>1100</v>
      </c>
    </row>
    <row r="154" spans="1:17" ht="15.75" customHeight="1" x14ac:dyDescent="0.25">
      <c r="A154" s="19" t="s">
        <v>232</v>
      </c>
      <c r="B154" s="38"/>
      <c r="C154" s="38" t="s">
        <v>107</v>
      </c>
      <c r="D154" s="38" t="s">
        <v>15</v>
      </c>
      <c r="E154" s="38" t="s">
        <v>230</v>
      </c>
      <c r="F154" s="38"/>
      <c r="G154" s="43">
        <f>G155</f>
        <v>600</v>
      </c>
      <c r="I154" s="43">
        <f>I155</f>
        <v>1100</v>
      </c>
      <c r="K154" s="43">
        <f>K155</f>
        <v>1100</v>
      </c>
      <c r="L154" s="56"/>
      <c r="M154" s="43">
        <f>M155</f>
        <v>1100</v>
      </c>
      <c r="N154" s="56"/>
      <c r="O154" s="73">
        <f>O155</f>
        <v>1100</v>
      </c>
      <c r="Q154" s="73">
        <f>Q155</f>
        <v>1100</v>
      </c>
    </row>
    <row r="155" spans="1:17" ht="15" customHeight="1" x14ac:dyDescent="0.25">
      <c r="A155" s="19" t="s">
        <v>224</v>
      </c>
      <c r="B155" s="38"/>
      <c r="C155" s="38" t="s">
        <v>107</v>
      </c>
      <c r="D155" s="38" t="s">
        <v>15</v>
      </c>
      <c r="E155" s="38" t="s">
        <v>230</v>
      </c>
      <c r="F155" s="38" t="s">
        <v>210</v>
      </c>
      <c r="G155" s="43">
        <f>600</f>
        <v>600</v>
      </c>
      <c r="H155" s="56">
        <v>500</v>
      </c>
      <c r="I155" s="43">
        <f>G155+H155</f>
        <v>1100</v>
      </c>
      <c r="K155" s="43">
        <f>I155+J155</f>
        <v>1100</v>
      </c>
      <c r="L155" s="56"/>
      <c r="M155" s="43">
        <f>K155+L155</f>
        <v>1100</v>
      </c>
      <c r="N155" s="56"/>
      <c r="O155" s="73">
        <f>M155+N155</f>
        <v>1100</v>
      </c>
      <c r="Q155" s="73">
        <f>O155+P155</f>
        <v>1100</v>
      </c>
    </row>
    <row r="156" spans="1:17" ht="15" customHeight="1" x14ac:dyDescent="0.25">
      <c r="A156" s="40" t="s">
        <v>511</v>
      </c>
      <c r="B156" s="35"/>
      <c r="C156" s="35" t="s">
        <v>107</v>
      </c>
      <c r="D156" s="35" t="s">
        <v>17</v>
      </c>
      <c r="E156" s="35"/>
      <c r="F156" s="35"/>
      <c r="G156" s="44"/>
      <c r="H156" s="57"/>
      <c r="I156" s="44"/>
      <c r="J156" s="57"/>
      <c r="K156" s="44"/>
      <c r="L156" s="57"/>
      <c r="M156" s="44">
        <f>M157</f>
        <v>28.81</v>
      </c>
      <c r="N156" s="57"/>
      <c r="O156" s="72">
        <f>O157</f>
        <v>28.81</v>
      </c>
      <c r="Q156" s="72">
        <f>Q157</f>
        <v>28.81</v>
      </c>
    </row>
    <row r="157" spans="1:17" ht="30" customHeight="1" x14ac:dyDescent="0.25">
      <c r="A157" s="19" t="s">
        <v>512</v>
      </c>
      <c r="B157" s="38"/>
      <c r="C157" s="38" t="s">
        <v>107</v>
      </c>
      <c r="D157" s="38" t="s">
        <v>17</v>
      </c>
      <c r="E157" s="38" t="s">
        <v>510</v>
      </c>
      <c r="F157" s="38"/>
      <c r="G157" s="43"/>
      <c r="I157" s="43"/>
      <c r="K157" s="43"/>
      <c r="L157" s="56"/>
      <c r="M157" s="43">
        <f>M158</f>
        <v>28.81</v>
      </c>
      <c r="N157" s="56"/>
      <c r="O157" s="73">
        <f>O158</f>
        <v>28.81</v>
      </c>
      <c r="Q157" s="73">
        <f>Q158</f>
        <v>28.81</v>
      </c>
    </row>
    <row r="158" spans="1:17" ht="15" customHeight="1" x14ac:dyDescent="0.25">
      <c r="A158" s="19" t="s">
        <v>224</v>
      </c>
      <c r="B158" s="38"/>
      <c r="C158" s="38" t="s">
        <v>107</v>
      </c>
      <c r="D158" s="38" t="s">
        <v>17</v>
      </c>
      <c r="E158" s="38" t="s">
        <v>510</v>
      </c>
      <c r="F158" s="38" t="s">
        <v>210</v>
      </c>
      <c r="G158" s="43"/>
      <c r="I158" s="43"/>
      <c r="K158" s="43"/>
      <c r="L158" s="56">
        <v>28.81</v>
      </c>
      <c r="M158" s="43">
        <f>K158+L158</f>
        <v>28.81</v>
      </c>
      <c r="N158" s="56"/>
      <c r="O158" s="73">
        <f>M158+N158</f>
        <v>28.81</v>
      </c>
      <c r="Q158" s="73">
        <f>O158+P158</f>
        <v>28.81</v>
      </c>
    </row>
    <row r="159" spans="1:17" ht="17.25" customHeight="1" x14ac:dyDescent="0.25">
      <c r="A159" s="40" t="s">
        <v>359</v>
      </c>
      <c r="B159" s="35" t="s">
        <v>233</v>
      </c>
      <c r="C159" s="35"/>
      <c r="D159" s="35"/>
      <c r="E159" s="35"/>
      <c r="F159" s="35"/>
      <c r="G159" s="44">
        <f>G160</f>
        <v>3316.4</v>
      </c>
      <c r="I159" s="44">
        <f>I160</f>
        <v>3316.4</v>
      </c>
      <c r="K159" s="44">
        <f>K160</f>
        <v>3316.4</v>
      </c>
      <c r="L159" s="56"/>
      <c r="M159" s="63">
        <f>M160+M169</f>
        <v>3339.9</v>
      </c>
      <c r="N159" s="56"/>
      <c r="O159" s="72">
        <f>O160+O169</f>
        <v>3339.9</v>
      </c>
      <c r="Q159" s="72">
        <f>Q160+Q169</f>
        <v>3339.9</v>
      </c>
    </row>
    <row r="160" spans="1:17" x14ac:dyDescent="0.25">
      <c r="A160" s="40" t="s">
        <v>129</v>
      </c>
      <c r="B160" s="35"/>
      <c r="C160" s="35" t="s">
        <v>15</v>
      </c>
      <c r="D160" s="35"/>
      <c r="E160" s="35"/>
      <c r="F160" s="35"/>
      <c r="G160" s="44">
        <f>G161</f>
        <v>3316.4</v>
      </c>
      <c r="I160" s="44">
        <f>I161</f>
        <v>3316.4</v>
      </c>
      <c r="K160" s="44">
        <f>K161</f>
        <v>3316.4</v>
      </c>
      <c r="L160" s="56"/>
      <c r="M160" s="44">
        <f>M161</f>
        <v>3316.4</v>
      </c>
      <c r="N160" s="56"/>
      <c r="O160" s="72">
        <f>O161</f>
        <v>3316.4</v>
      </c>
      <c r="Q160" s="72">
        <f>Q161</f>
        <v>3316.4</v>
      </c>
    </row>
    <row r="161" spans="1:17" ht="32.25" customHeight="1" x14ac:dyDescent="0.25">
      <c r="A161" s="40" t="s">
        <v>19</v>
      </c>
      <c r="B161" s="35"/>
      <c r="C161" s="35" t="s">
        <v>15</v>
      </c>
      <c r="D161" s="35" t="s">
        <v>20</v>
      </c>
      <c r="E161" s="35"/>
      <c r="F161" s="35"/>
      <c r="G161" s="44">
        <f>G162+G167</f>
        <v>3316.4</v>
      </c>
      <c r="I161" s="44">
        <f>I162+I167</f>
        <v>3316.4</v>
      </c>
      <c r="K161" s="44">
        <f>K162+K167</f>
        <v>3316.4</v>
      </c>
      <c r="L161" s="56"/>
      <c r="M161" s="44">
        <f>M162+M167</f>
        <v>3316.4</v>
      </c>
      <c r="N161" s="56"/>
      <c r="O161" s="72">
        <f>O162+O167</f>
        <v>3316.4</v>
      </c>
      <c r="Q161" s="72">
        <f>Q162+Q167</f>
        <v>3316.4</v>
      </c>
    </row>
    <row r="162" spans="1:17" x14ac:dyDescent="0.25">
      <c r="A162" s="19" t="s">
        <v>234</v>
      </c>
      <c r="B162" s="38"/>
      <c r="C162" s="38" t="s">
        <v>15</v>
      </c>
      <c r="D162" s="38" t="s">
        <v>20</v>
      </c>
      <c r="E162" s="38" t="s">
        <v>23</v>
      </c>
      <c r="F162" s="38"/>
      <c r="G162" s="43">
        <f>G163+G164+G165+G166</f>
        <v>1873</v>
      </c>
      <c r="I162" s="43">
        <f>I163+I164+I165+I166</f>
        <v>1873</v>
      </c>
      <c r="K162" s="43">
        <f>K163+K164+K165+K166</f>
        <v>1873</v>
      </c>
      <c r="L162" s="56"/>
      <c r="M162" s="43">
        <f>M163+M164+M165+M166</f>
        <v>1873</v>
      </c>
      <c r="N162" s="56"/>
      <c r="O162" s="73">
        <f>O163+O164+O165+O166</f>
        <v>1873</v>
      </c>
      <c r="Q162" s="73">
        <f>Q163+Q164+Q165+Q166</f>
        <v>1873</v>
      </c>
    </row>
    <row r="163" spans="1:17" x14ac:dyDescent="0.25">
      <c r="A163" s="19" t="s">
        <v>204</v>
      </c>
      <c r="B163" s="38"/>
      <c r="C163" s="38" t="s">
        <v>15</v>
      </c>
      <c r="D163" s="38" t="s">
        <v>20</v>
      </c>
      <c r="E163" s="38" t="s">
        <v>23</v>
      </c>
      <c r="F163" s="38" t="s">
        <v>205</v>
      </c>
      <c r="G163" s="43">
        <f>954.4+261.2</f>
        <v>1215.5999999999999</v>
      </c>
      <c r="I163" s="43">
        <f>G163+H163</f>
        <v>1215.5999999999999</v>
      </c>
      <c r="K163" s="43">
        <f>I163+J163</f>
        <v>1215.5999999999999</v>
      </c>
      <c r="L163" s="56"/>
      <c r="M163" s="43">
        <f>K163+L163</f>
        <v>1215.5999999999999</v>
      </c>
      <c r="N163" s="56"/>
      <c r="O163" s="73">
        <f>M163+N163</f>
        <v>1215.5999999999999</v>
      </c>
      <c r="Q163" s="73">
        <f>O163+P163</f>
        <v>1215.5999999999999</v>
      </c>
    </row>
    <row r="164" spans="1:17" ht="15" customHeight="1" x14ac:dyDescent="0.25">
      <c r="A164" s="19" t="s">
        <v>206</v>
      </c>
      <c r="B164" s="38"/>
      <c r="C164" s="38" t="s">
        <v>15</v>
      </c>
      <c r="D164" s="38" t="s">
        <v>20</v>
      </c>
      <c r="E164" s="38" t="s">
        <v>23</v>
      </c>
      <c r="F164" s="38" t="s">
        <v>207</v>
      </c>
      <c r="G164" s="43">
        <v>50</v>
      </c>
      <c r="I164" s="43">
        <f>G164+H164</f>
        <v>50</v>
      </c>
      <c r="K164" s="43">
        <f>I164+J164</f>
        <v>50</v>
      </c>
      <c r="L164" s="56">
        <v>20</v>
      </c>
      <c r="M164" s="43">
        <f>K164+L164</f>
        <v>70</v>
      </c>
      <c r="N164" s="56"/>
      <c r="O164" s="73">
        <f>M164+N164</f>
        <v>70</v>
      </c>
      <c r="Q164" s="73">
        <f>O164+P164</f>
        <v>70</v>
      </c>
    </row>
    <row r="165" spans="1:17" ht="18" customHeight="1" x14ac:dyDescent="0.25">
      <c r="A165" s="19" t="s">
        <v>208</v>
      </c>
      <c r="B165" s="38"/>
      <c r="C165" s="38" t="s">
        <v>15</v>
      </c>
      <c r="D165" s="38" t="s">
        <v>20</v>
      </c>
      <c r="E165" s="38" t="s">
        <v>23</v>
      </c>
      <c r="F165" s="38" t="s">
        <v>209</v>
      </c>
      <c r="G165" s="43">
        <v>62</v>
      </c>
      <c r="I165" s="43">
        <f>G165+H165</f>
        <v>62</v>
      </c>
      <c r="K165" s="43">
        <f>I165+J165</f>
        <v>62</v>
      </c>
      <c r="L165" s="56">
        <v>6</v>
      </c>
      <c r="M165" s="43">
        <f>K165+L165</f>
        <v>68</v>
      </c>
      <c r="N165" s="56"/>
      <c r="O165" s="73">
        <f>M165+N165</f>
        <v>68</v>
      </c>
      <c r="Q165" s="73">
        <f>O165+P165</f>
        <v>68</v>
      </c>
    </row>
    <row r="166" spans="1:17" ht="15" customHeight="1" x14ac:dyDescent="0.25">
      <c r="A166" s="19" t="s">
        <v>224</v>
      </c>
      <c r="B166" s="38"/>
      <c r="C166" s="38" t="s">
        <v>15</v>
      </c>
      <c r="D166" s="38" t="s">
        <v>20</v>
      </c>
      <c r="E166" s="38" t="s">
        <v>23</v>
      </c>
      <c r="F166" s="38" t="s">
        <v>210</v>
      </c>
      <c r="G166" s="43">
        <f>645.7-100.3</f>
        <v>545.40000000000009</v>
      </c>
      <c r="I166" s="43">
        <f>G166+H166</f>
        <v>545.40000000000009</v>
      </c>
      <c r="K166" s="43">
        <f>I166+J166</f>
        <v>545.40000000000009</v>
      </c>
      <c r="L166" s="56">
        <v>-26</v>
      </c>
      <c r="M166" s="43">
        <f>K166+L166</f>
        <v>519.40000000000009</v>
      </c>
      <c r="N166" s="56"/>
      <c r="O166" s="73">
        <f>M166+N166</f>
        <v>519.40000000000009</v>
      </c>
      <c r="Q166" s="73">
        <f>O166+P166</f>
        <v>519.40000000000009</v>
      </c>
    </row>
    <row r="167" spans="1:17" ht="15" customHeight="1" x14ac:dyDescent="0.25">
      <c r="A167" s="19" t="s">
        <v>236</v>
      </c>
      <c r="B167" s="38"/>
      <c r="C167" s="38" t="s">
        <v>15</v>
      </c>
      <c r="D167" s="38" t="s">
        <v>20</v>
      </c>
      <c r="E167" s="38" t="s">
        <v>235</v>
      </c>
      <c r="F167" s="38"/>
      <c r="G167" s="43">
        <f>G168</f>
        <v>1443.4</v>
      </c>
      <c r="I167" s="43">
        <f>I168</f>
        <v>1443.4</v>
      </c>
      <c r="K167" s="43">
        <f>K168</f>
        <v>1443.4</v>
      </c>
      <c r="L167" s="56"/>
      <c r="M167" s="43">
        <f>M168</f>
        <v>1443.4</v>
      </c>
      <c r="N167" s="56"/>
      <c r="O167" s="73">
        <f>O168</f>
        <v>1443.4</v>
      </c>
      <c r="Q167" s="73">
        <f>Q168</f>
        <v>1443.4</v>
      </c>
    </row>
    <row r="168" spans="1:17" x14ac:dyDescent="0.25">
      <c r="A168" s="19" t="s">
        <v>204</v>
      </c>
      <c r="B168" s="38"/>
      <c r="C168" s="38" t="s">
        <v>15</v>
      </c>
      <c r="D168" s="38" t="s">
        <v>20</v>
      </c>
      <c r="E168" s="38" t="s">
        <v>235</v>
      </c>
      <c r="F168" s="38" t="s">
        <v>205</v>
      </c>
      <c r="G168" s="43">
        <v>1443.4</v>
      </c>
      <c r="I168" s="43">
        <f>G168+H168</f>
        <v>1443.4</v>
      </c>
      <c r="K168" s="43">
        <f>I168+J168</f>
        <v>1443.4</v>
      </c>
      <c r="L168" s="56"/>
      <c r="M168" s="43">
        <f>K168+L168</f>
        <v>1443.4</v>
      </c>
      <c r="N168" s="56"/>
      <c r="O168" s="73">
        <f>M168+N168</f>
        <v>1443.4</v>
      </c>
      <c r="Q168" s="73">
        <f>O168+P168</f>
        <v>1443.4</v>
      </c>
    </row>
    <row r="169" spans="1:17" x14ac:dyDescent="0.25">
      <c r="A169" s="40" t="s">
        <v>42</v>
      </c>
      <c r="B169" s="38"/>
      <c r="C169" s="38" t="s">
        <v>24</v>
      </c>
      <c r="D169" s="38"/>
      <c r="E169" s="38"/>
      <c r="F169" s="38"/>
      <c r="G169" s="43"/>
      <c r="I169" s="43"/>
      <c r="K169" s="43"/>
      <c r="L169" s="56"/>
      <c r="M169" s="43">
        <f>M170</f>
        <v>23.5</v>
      </c>
      <c r="N169" s="56"/>
      <c r="O169" s="73">
        <f>O170</f>
        <v>23.5</v>
      </c>
      <c r="Q169" s="73">
        <f>Q170</f>
        <v>23.5</v>
      </c>
    </row>
    <row r="170" spans="1:17" x14ac:dyDescent="0.25">
      <c r="A170" s="34" t="s">
        <v>166</v>
      </c>
      <c r="B170" s="38"/>
      <c r="C170" s="38" t="s">
        <v>24</v>
      </c>
      <c r="D170" s="38" t="s">
        <v>27</v>
      </c>
      <c r="E170" s="38"/>
      <c r="F170" s="38"/>
      <c r="G170" s="43"/>
      <c r="I170" s="43"/>
      <c r="K170" s="43"/>
      <c r="L170" s="56"/>
      <c r="M170" s="43">
        <f>M171</f>
        <v>23.5</v>
      </c>
      <c r="N170" s="56"/>
      <c r="O170" s="73">
        <f>O171</f>
        <v>23.5</v>
      </c>
      <c r="Q170" s="73">
        <f>Q171</f>
        <v>23.5</v>
      </c>
    </row>
    <row r="171" spans="1:17" ht="30.75" customHeight="1" x14ac:dyDescent="0.25">
      <c r="A171" s="19" t="s">
        <v>308</v>
      </c>
      <c r="B171" s="38"/>
      <c r="C171" s="38" t="s">
        <v>24</v>
      </c>
      <c r="D171" s="38" t="s">
        <v>27</v>
      </c>
      <c r="E171" s="38" t="s">
        <v>309</v>
      </c>
      <c r="F171" s="38"/>
      <c r="G171" s="43"/>
      <c r="I171" s="43"/>
      <c r="K171" s="43"/>
      <c r="L171" s="56"/>
      <c r="M171" s="43">
        <f>M172</f>
        <v>23.5</v>
      </c>
      <c r="N171" s="56"/>
      <c r="O171" s="73">
        <f>O172</f>
        <v>23.5</v>
      </c>
      <c r="Q171" s="73">
        <f>Q172</f>
        <v>23.5</v>
      </c>
    </row>
    <row r="172" spans="1:17" x14ac:dyDescent="0.25">
      <c r="A172" s="19" t="s">
        <v>224</v>
      </c>
      <c r="B172" s="38"/>
      <c r="C172" s="38" t="s">
        <v>24</v>
      </c>
      <c r="D172" s="38" t="s">
        <v>27</v>
      </c>
      <c r="E172" s="38" t="s">
        <v>309</v>
      </c>
      <c r="F172" s="38" t="s">
        <v>210</v>
      </c>
      <c r="G172" s="43"/>
      <c r="I172" s="43"/>
      <c r="K172" s="43"/>
      <c r="L172" s="56">
        <v>23.5</v>
      </c>
      <c r="M172" s="43">
        <f>K172+L172</f>
        <v>23.5</v>
      </c>
      <c r="N172" s="56"/>
      <c r="O172" s="73">
        <f>M172+N172</f>
        <v>23.5</v>
      </c>
      <c r="Q172" s="73">
        <f>O172+P172</f>
        <v>23.5</v>
      </c>
    </row>
    <row r="173" spans="1:17" ht="17.25" customHeight="1" x14ac:dyDescent="0.25">
      <c r="A173" s="40" t="s">
        <v>237</v>
      </c>
      <c r="B173" s="35" t="s">
        <v>5</v>
      </c>
      <c r="C173" s="35"/>
      <c r="D173" s="35"/>
      <c r="E173" s="35"/>
      <c r="F173" s="35"/>
      <c r="G173" s="44">
        <f>G174+G188+G197+G212+G299+G305+G310+G314+G286+G292</f>
        <v>179252.99</v>
      </c>
      <c r="I173" s="44">
        <f>I174+I188+I197+I212+I299+I305+I310+I314+I286+I292</f>
        <v>179252.99</v>
      </c>
      <c r="K173" s="44">
        <f>K174+K188+K197+K212+K299+K305+K310+K314+K286+K292</f>
        <v>179252.99</v>
      </c>
      <c r="L173" s="56"/>
      <c r="M173" s="63">
        <f>M174+M188+M197+M212+M299+M305+M310+M314+M286+M292</f>
        <v>184626.16999999998</v>
      </c>
      <c r="N173" s="56"/>
      <c r="O173" s="72">
        <f>O174+O188+O197+O212+O299+O305+O310+O314+O286+O292</f>
        <v>187106.30999999997</v>
      </c>
      <c r="Q173" s="72">
        <f>Q174+Q188+Q197+Q212+Q299+Q305+Q310+Q314+Q286+Q292</f>
        <v>194300.30999999997</v>
      </c>
    </row>
    <row r="174" spans="1:17" x14ac:dyDescent="0.25">
      <c r="A174" s="40" t="s">
        <v>129</v>
      </c>
      <c r="B174" s="35"/>
      <c r="C174" s="35" t="s">
        <v>15</v>
      </c>
      <c r="D174" s="35"/>
      <c r="E174" s="35"/>
      <c r="F174" s="35"/>
      <c r="G174" s="44">
        <f>G175+G184</f>
        <v>8451.7000000000007</v>
      </c>
      <c r="I174" s="44">
        <f>I175+I184</f>
        <v>8451.7000000000007</v>
      </c>
      <c r="K174" s="44">
        <f>K175+K184</f>
        <v>8451.7000000000007</v>
      </c>
      <c r="L174" s="56"/>
      <c r="M174" s="44">
        <f>M175+M183</f>
        <v>8608.2900000000009</v>
      </c>
      <c r="N174" s="56"/>
      <c r="O174" s="72">
        <f>O175+O183</f>
        <v>8608.2900000000009</v>
      </c>
      <c r="Q174" s="72">
        <f>Q175+Q183</f>
        <v>8608.2900000000009</v>
      </c>
    </row>
    <row r="175" spans="1:17" ht="31.5" x14ac:dyDescent="0.25">
      <c r="A175" s="40" t="s">
        <v>424</v>
      </c>
      <c r="B175" s="35"/>
      <c r="C175" s="35" t="s">
        <v>15</v>
      </c>
      <c r="D175" s="35" t="s">
        <v>98</v>
      </c>
      <c r="E175" s="35"/>
      <c r="F175" s="35"/>
      <c r="G175" s="44">
        <f>G176</f>
        <v>5831.7</v>
      </c>
      <c r="I175" s="44">
        <f>I176</f>
        <v>5831.7</v>
      </c>
      <c r="K175" s="44">
        <f>K176</f>
        <v>5831.7</v>
      </c>
      <c r="L175" s="56"/>
      <c r="M175" s="44">
        <f>M176</f>
        <v>5831.7</v>
      </c>
      <c r="N175" s="56"/>
      <c r="O175" s="72">
        <f>O176</f>
        <v>5831.7</v>
      </c>
      <c r="Q175" s="72">
        <f>Q176</f>
        <v>5831.7</v>
      </c>
    </row>
    <row r="176" spans="1:17" x14ac:dyDescent="0.25">
      <c r="A176" s="19" t="s">
        <v>234</v>
      </c>
      <c r="B176" s="38"/>
      <c r="C176" s="38" t="s">
        <v>15</v>
      </c>
      <c r="D176" s="38" t="s">
        <v>98</v>
      </c>
      <c r="E176" s="38" t="s">
        <v>23</v>
      </c>
      <c r="F176" s="38"/>
      <c r="G176" s="43">
        <f>SUM(G177:G182)</f>
        <v>5831.7</v>
      </c>
      <c r="I176" s="43">
        <f>SUM(I177:I182)</f>
        <v>5831.7</v>
      </c>
      <c r="K176" s="43">
        <f>SUM(K177:K182)</f>
        <v>5831.7</v>
      </c>
      <c r="L176" s="56"/>
      <c r="M176" s="43">
        <f>SUM(M177:M182)</f>
        <v>5831.7</v>
      </c>
      <c r="N176" s="56"/>
      <c r="O176" s="73">
        <f>SUM(O177:O182)</f>
        <v>5831.7</v>
      </c>
      <c r="Q176" s="73">
        <f>SUM(Q177:Q182)</f>
        <v>5831.7</v>
      </c>
    </row>
    <row r="177" spans="1:17" x14ac:dyDescent="0.25">
      <c r="A177" s="19" t="s">
        <v>204</v>
      </c>
      <c r="B177" s="38"/>
      <c r="C177" s="38" t="s">
        <v>15</v>
      </c>
      <c r="D177" s="38" t="s">
        <v>98</v>
      </c>
      <c r="E177" s="38" t="s">
        <v>23</v>
      </c>
      <c r="F177" s="38" t="s">
        <v>205</v>
      </c>
      <c r="G177" s="43">
        <f>4202.3+1166.2</f>
        <v>5368.5</v>
      </c>
      <c r="I177" s="43">
        <f t="shared" ref="I177:I182" si="4">G177+H177</f>
        <v>5368.5</v>
      </c>
      <c r="K177" s="43">
        <f t="shared" ref="K177:M182" si="5">I177+J177</f>
        <v>5368.5</v>
      </c>
      <c r="L177" s="56"/>
      <c r="M177" s="43">
        <f t="shared" si="5"/>
        <v>5368.5</v>
      </c>
      <c r="N177" s="56"/>
      <c r="O177" s="73">
        <f t="shared" ref="O177:Q182" si="6">M177+N177</f>
        <v>5368.5</v>
      </c>
      <c r="Q177" s="73">
        <f t="shared" si="6"/>
        <v>5368.5</v>
      </c>
    </row>
    <row r="178" spans="1:17" ht="14.25" customHeight="1" x14ac:dyDescent="0.25">
      <c r="A178" s="19" t="s">
        <v>206</v>
      </c>
      <c r="B178" s="38"/>
      <c r="C178" s="38" t="s">
        <v>15</v>
      </c>
      <c r="D178" s="38" t="s">
        <v>98</v>
      </c>
      <c r="E178" s="38" t="s">
        <v>23</v>
      </c>
      <c r="F178" s="38" t="s">
        <v>207</v>
      </c>
      <c r="G178" s="43">
        <v>8</v>
      </c>
      <c r="I178" s="43">
        <f t="shared" si="4"/>
        <v>8</v>
      </c>
      <c r="K178" s="43">
        <f t="shared" si="5"/>
        <v>8</v>
      </c>
      <c r="L178" s="56"/>
      <c r="M178" s="43">
        <f t="shared" si="5"/>
        <v>8</v>
      </c>
      <c r="N178" s="56"/>
      <c r="O178" s="73">
        <f t="shared" si="6"/>
        <v>8</v>
      </c>
      <c r="Q178" s="73">
        <f t="shared" si="6"/>
        <v>8</v>
      </c>
    </row>
    <row r="179" spans="1:17" ht="15.75" customHeight="1" x14ac:dyDescent="0.25">
      <c r="A179" s="19" t="s">
        <v>208</v>
      </c>
      <c r="B179" s="38"/>
      <c r="C179" s="38" t="s">
        <v>15</v>
      </c>
      <c r="D179" s="38" t="s">
        <v>98</v>
      </c>
      <c r="E179" s="38" t="s">
        <v>23</v>
      </c>
      <c r="F179" s="38" t="s">
        <v>209</v>
      </c>
      <c r="G179" s="43">
        <f>25+111.9</f>
        <v>136.9</v>
      </c>
      <c r="I179" s="43">
        <f t="shared" si="4"/>
        <v>136.9</v>
      </c>
      <c r="K179" s="43">
        <f t="shared" si="5"/>
        <v>136.9</v>
      </c>
      <c r="L179" s="56"/>
      <c r="M179" s="43">
        <f t="shared" si="5"/>
        <v>136.9</v>
      </c>
      <c r="N179" s="56"/>
      <c r="O179" s="73">
        <f t="shared" si="6"/>
        <v>136.9</v>
      </c>
      <c r="Q179" s="73">
        <f t="shared" si="6"/>
        <v>136.9</v>
      </c>
    </row>
    <row r="180" spans="1:17" ht="14.25" customHeight="1" x14ac:dyDescent="0.25">
      <c r="A180" s="19" t="s">
        <v>224</v>
      </c>
      <c r="B180" s="38"/>
      <c r="C180" s="38" t="s">
        <v>15</v>
      </c>
      <c r="D180" s="38" t="s">
        <v>98</v>
      </c>
      <c r="E180" s="38" t="s">
        <v>23</v>
      </c>
      <c r="F180" s="38" t="s">
        <v>210</v>
      </c>
      <c r="G180" s="43">
        <f>150+10+40+85+50-18.7</f>
        <v>316.3</v>
      </c>
      <c r="I180" s="43">
        <f t="shared" si="4"/>
        <v>316.3</v>
      </c>
      <c r="K180" s="43">
        <f t="shared" si="5"/>
        <v>316.3</v>
      </c>
      <c r="L180" s="56"/>
      <c r="M180" s="43">
        <f t="shared" si="5"/>
        <v>316.3</v>
      </c>
      <c r="N180" s="56"/>
      <c r="O180" s="73">
        <f t="shared" si="6"/>
        <v>316.3</v>
      </c>
      <c r="Q180" s="73">
        <f t="shared" si="6"/>
        <v>316.3</v>
      </c>
    </row>
    <row r="181" spans="1:17" ht="14.25" customHeight="1" x14ac:dyDescent="0.25">
      <c r="A181" s="47" t="s">
        <v>318</v>
      </c>
      <c r="B181" s="38"/>
      <c r="C181" s="38" t="s">
        <v>15</v>
      </c>
      <c r="D181" s="38" t="s">
        <v>98</v>
      </c>
      <c r="E181" s="38" t="s">
        <v>23</v>
      </c>
      <c r="F181" s="38" t="s">
        <v>317</v>
      </c>
      <c r="G181" s="43"/>
      <c r="I181" s="43">
        <f t="shared" si="4"/>
        <v>0</v>
      </c>
      <c r="K181" s="43">
        <f t="shared" si="5"/>
        <v>0</v>
      </c>
      <c r="L181" s="56"/>
      <c r="M181" s="43">
        <f t="shared" si="5"/>
        <v>0</v>
      </c>
      <c r="N181" s="56"/>
      <c r="O181" s="73">
        <f t="shared" si="6"/>
        <v>0</v>
      </c>
      <c r="Q181" s="73">
        <f t="shared" si="6"/>
        <v>0</v>
      </c>
    </row>
    <row r="182" spans="1:17" ht="14.25" customHeight="1" x14ac:dyDescent="0.25">
      <c r="A182" s="47" t="s">
        <v>300</v>
      </c>
      <c r="B182" s="38"/>
      <c r="C182" s="38" t="s">
        <v>15</v>
      </c>
      <c r="D182" s="38" t="s">
        <v>98</v>
      </c>
      <c r="E182" s="38" t="s">
        <v>23</v>
      </c>
      <c r="F182" s="38" t="s">
        <v>299</v>
      </c>
      <c r="G182" s="43">
        <v>2</v>
      </c>
      <c r="I182" s="43">
        <f t="shared" si="4"/>
        <v>2</v>
      </c>
      <c r="K182" s="43">
        <f t="shared" si="5"/>
        <v>2</v>
      </c>
      <c r="L182" s="56"/>
      <c r="M182" s="43">
        <f t="shared" si="5"/>
        <v>2</v>
      </c>
      <c r="N182" s="56"/>
      <c r="O182" s="73">
        <f t="shared" si="6"/>
        <v>2</v>
      </c>
      <c r="Q182" s="73">
        <f t="shared" si="6"/>
        <v>2</v>
      </c>
    </row>
    <row r="183" spans="1:17" ht="14.25" customHeight="1" x14ac:dyDescent="0.25">
      <c r="A183" s="40" t="s">
        <v>29</v>
      </c>
      <c r="B183" s="38"/>
      <c r="C183" s="38" t="s">
        <v>15</v>
      </c>
      <c r="D183" s="38" t="s">
        <v>185</v>
      </c>
      <c r="E183" s="38"/>
      <c r="F183" s="38"/>
      <c r="G183" s="43"/>
      <c r="I183" s="43"/>
      <c r="K183" s="43"/>
      <c r="L183" s="56"/>
      <c r="M183" s="43">
        <f>M184+M186</f>
        <v>2776.59</v>
      </c>
      <c r="N183" s="56"/>
      <c r="O183" s="73">
        <f>O184+O186</f>
        <v>2776.59</v>
      </c>
      <c r="Q183" s="73">
        <f>Q184+Q186</f>
        <v>2776.59</v>
      </c>
    </row>
    <row r="184" spans="1:17" x14ac:dyDescent="0.25">
      <c r="A184" s="19" t="s">
        <v>260</v>
      </c>
      <c r="B184" s="38"/>
      <c r="C184" s="38" t="s">
        <v>15</v>
      </c>
      <c r="D184" s="38" t="s">
        <v>185</v>
      </c>
      <c r="E184" s="38" t="s">
        <v>259</v>
      </c>
      <c r="F184" s="38"/>
      <c r="G184" s="43">
        <f>G185</f>
        <v>2620</v>
      </c>
      <c r="I184" s="43">
        <f>I185</f>
        <v>2620</v>
      </c>
      <c r="K184" s="43">
        <f>K185</f>
        <v>2620</v>
      </c>
      <c r="L184" s="56"/>
      <c r="M184" s="43">
        <f>M185</f>
        <v>2620</v>
      </c>
      <c r="N184" s="56"/>
      <c r="O184" s="73">
        <f>O185</f>
        <v>2620</v>
      </c>
      <c r="Q184" s="73">
        <f>Q185</f>
        <v>2620</v>
      </c>
    </row>
    <row r="185" spans="1:17" ht="30.75" customHeight="1" x14ac:dyDescent="0.25">
      <c r="A185" s="19" t="s">
        <v>242</v>
      </c>
      <c r="B185" s="38"/>
      <c r="C185" s="38" t="s">
        <v>15</v>
      </c>
      <c r="D185" s="38" t="s">
        <v>185</v>
      </c>
      <c r="E185" s="38" t="s">
        <v>259</v>
      </c>
      <c r="F185" s="38" t="s">
        <v>243</v>
      </c>
      <c r="G185" s="43">
        <v>2620</v>
      </c>
      <c r="I185" s="43">
        <f>G185+H185</f>
        <v>2620</v>
      </c>
      <c r="K185" s="43">
        <f>I185+J185</f>
        <v>2620</v>
      </c>
      <c r="L185" s="56"/>
      <c r="M185" s="43">
        <f>K185+L185</f>
        <v>2620</v>
      </c>
      <c r="N185" s="56"/>
      <c r="O185" s="73">
        <f>M185+N185</f>
        <v>2620</v>
      </c>
      <c r="Q185" s="73">
        <f>O185+P185</f>
        <v>2620</v>
      </c>
    </row>
    <row r="186" spans="1:17" ht="16.5" customHeight="1" x14ac:dyDescent="0.25">
      <c r="A186" s="47" t="s">
        <v>376</v>
      </c>
      <c r="B186" s="38"/>
      <c r="C186" s="38" t="s">
        <v>15</v>
      </c>
      <c r="D186" s="38" t="s">
        <v>185</v>
      </c>
      <c r="E186" s="38" t="s">
        <v>215</v>
      </c>
      <c r="F186" s="38"/>
      <c r="G186" s="43">
        <f>G187</f>
        <v>0</v>
      </c>
      <c r="I186" s="43">
        <f>I187</f>
        <v>0</v>
      </c>
      <c r="K186" s="43">
        <f>K187</f>
        <v>0</v>
      </c>
      <c r="L186" s="56"/>
      <c r="M186" s="43">
        <f>M187</f>
        <v>156.59</v>
      </c>
      <c r="N186" s="56"/>
      <c r="O186" s="73">
        <f>O187</f>
        <v>156.59</v>
      </c>
      <c r="Q186" s="73">
        <f>Q187</f>
        <v>156.59</v>
      </c>
    </row>
    <row r="187" spans="1:17" ht="63" customHeight="1" x14ac:dyDescent="0.25">
      <c r="A187" s="19" t="s">
        <v>240</v>
      </c>
      <c r="B187" s="38"/>
      <c r="C187" s="38" t="s">
        <v>15</v>
      </c>
      <c r="D187" s="38" t="s">
        <v>185</v>
      </c>
      <c r="E187" s="38" t="s">
        <v>215</v>
      </c>
      <c r="F187" s="38" t="s">
        <v>239</v>
      </c>
      <c r="G187" s="43"/>
      <c r="I187" s="43"/>
      <c r="K187" s="43"/>
      <c r="L187" s="56">
        <v>156.59</v>
      </c>
      <c r="M187" s="43">
        <f>K187+L187</f>
        <v>156.59</v>
      </c>
      <c r="N187" s="56"/>
      <c r="O187" s="73">
        <f>M187+N187</f>
        <v>156.59</v>
      </c>
      <c r="Q187" s="73">
        <f>O187+P187</f>
        <v>156.59</v>
      </c>
    </row>
    <row r="188" spans="1:17" x14ac:dyDescent="0.25">
      <c r="A188" s="40" t="s">
        <v>42</v>
      </c>
      <c r="B188" s="35"/>
      <c r="C188" s="35" t="s">
        <v>24</v>
      </c>
      <c r="D188" s="35"/>
      <c r="E188" s="35"/>
      <c r="F188" s="35"/>
      <c r="G188" s="44">
        <f>G189</f>
        <v>500</v>
      </c>
      <c r="I188" s="44">
        <f>I189</f>
        <v>500</v>
      </c>
      <c r="K188" s="44">
        <f>K189</f>
        <v>500</v>
      </c>
      <c r="L188" s="56"/>
      <c r="M188" s="44">
        <f>M189+M192</f>
        <v>382.5</v>
      </c>
      <c r="N188" s="56"/>
      <c r="O188" s="72">
        <f>O189+O192</f>
        <v>664.07999999999993</v>
      </c>
      <c r="Q188" s="72">
        <f>Q189+Q192</f>
        <v>664.07999999999993</v>
      </c>
    </row>
    <row r="189" spans="1:17" x14ac:dyDescent="0.25">
      <c r="A189" s="40" t="s">
        <v>172</v>
      </c>
      <c r="B189" s="35"/>
      <c r="C189" s="35" t="s">
        <v>24</v>
      </c>
      <c r="D189" s="35" t="s">
        <v>17</v>
      </c>
      <c r="E189" s="35"/>
      <c r="F189" s="35"/>
      <c r="G189" s="44">
        <f>G190</f>
        <v>500</v>
      </c>
      <c r="I189" s="44">
        <f>I190</f>
        <v>500</v>
      </c>
      <c r="K189" s="44">
        <f>K190</f>
        <v>500</v>
      </c>
      <c r="L189" s="56"/>
      <c r="M189" s="44">
        <f>M190</f>
        <v>0</v>
      </c>
      <c r="N189" s="56"/>
      <c r="O189" s="72">
        <f>O190</f>
        <v>0</v>
      </c>
      <c r="Q189" s="72">
        <f>Q190</f>
        <v>0</v>
      </c>
    </row>
    <row r="190" spans="1:17" ht="30.75" customHeight="1" x14ac:dyDescent="0.25">
      <c r="A190" s="19" t="s">
        <v>308</v>
      </c>
      <c r="B190" s="38"/>
      <c r="C190" s="38" t="s">
        <v>24</v>
      </c>
      <c r="D190" s="38" t="s">
        <v>17</v>
      </c>
      <c r="E190" s="38" t="s">
        <v>309</v>
      </c>
      <c r="F190" s="38"/>
      <c r="G190" s="43">
        <f>G191</f>
        <v>500</v>
      </c>
      <c r="I190" s="43">
        <f>I191</f>
        <v>500</v>
      </c>
      <c r="K190" s="43">
        <f>K191</f>
        <v>500</v>
      </c>
      <c r="L190" s="56"/>
      <c r="M190" s="43">
        <f>M191</f>
        <v>0</v>
      </c>
      <c r="N190" s="56"/>
      <c r="O190" s="73">
        <f>O191</f>
        <v>0</v>
      </c>
      <c r="Q190" s="73">
        <f>Q191</f>
        <v>0</v>
      </c>
    </row>
    <row r="191" spans="1:17" x14ac:dyDescent="0.25">
      <c r="A191" s="19" t="s">
        <v>245</v>
      </c>
      <c r="B191" s="38"/>
      <c r="C191" s="38" t="s">
        <v>24</v>
      </c>
      <c r="D191" s="38" t="s">
        <v>17</v>
      </c>
      <c r="E191" s="38" t="s">
        <v>309</v>
      </c>
      <c r="F191" s="38" t="s">
        <v>244</v>
      </c>
      <c r="G191" s="43">
        <v>500</v>
      </c>
      <c r="I191" s="43">
        <f>G191+H191</f>
        <v>500</v>
      </c>
      <c r="K191" s="43">
        <f>I191+J191</f>
        <v>500</v>
      </c>
      <c r="L191" s="56">
        <v>-500</v>
      </c>
      <c r="M191" s="43">
        <f>K191+L191</f>
        <v>0</v>
      </c>
      <c r="N191" s="56"/>
      <c r="O191" s="73">
        <f>M191+N191</f>
        <v>0</v>
      </c>
      <c r="Q191" s="73">
        <f>O191+P191</f>
        <v>0</v>
      </c>
    </row>
    <row r="192" spans="1:17" x14ac:dyDescent="0.25">
      <c r="A192" s="34" t="s">
        <v>166</v>
      </c>
      <c r="B192" s="38"/>
      <c r="C192" s="35" t="s">
        <v>24</v>
      </c>
      <c r="D192" s="35" t="s">
        <v>27</v>
      </c>
      <c r="E192" s="35"/>
      <c r="F192" s="35"/>
      <c r="G192" s="44"/>
      <c r="H192" s="57"/>
      <c r="I192" s="44"/>
      <c r="J192" s="57"/>
      <c r="K192" s="44"/>
      <c r="L192" s="57"/>
      <c r="M192" s="44">
        <f>M195</f>
        <v>382.5</v>
      </c>
      <c r="N192" s="57"/>
      <c r="O192" s="72">
        <f>O195+O193</f>
        <v>664.07999999999993</v>
      </c>
      <c r="Q192" s="72">
        <f>Q195+Q193</f>
        <v>664.07999999999993</v>
      </c>
    </row>
    <row r="193" spans="1:17" ht="31.5" x14ac:dyDescent="0.25">
      <c r="A193" s="19" t="s">
        <v>569</v>
      </c>
      <c r="B193" s="38"/>
      <c r="C193" s="38" t="s">
        <v>24</v>
      </c>
      <c r="D193" s="38" t="s">
        <v>27</v>
      </c>
      <c r="E193" s="38" t="s">
        <v>570</v>
      </c>
      <c r="F193" s="38"/>
      <c r="G193" s="43"/>
      <c r="I193" s="43"/>
      <c r="K193" s="43"/>
      <c r="L193" s="56"/>
      <c r="M193" s="43"/>
      <c r="N193" s="56"/>
      <c r="O193" s="73">
        <f>O194</f>
        <v>281.58</v>
      </c>
      <c r="Q193" s="73">
        <f>Q194</f>
        <v>281.58</v>
      </c>
    </row>
    <row r="194" spans="1:17" x14ac:dyDescent="0.25">
      <c r="A194" s="39" t="s">
        <v>245</v>
      </c>
      <c r="B194" s="38"/>
      <c r="C194" s="38" t="s">
        <v>24</v>
      </c>
      <c r="D194" s="38" t="s">
        <v>27</v>
      </c>
      <c r="E194" s="38" t="s">
        <v>570</v>
      </c>
      <c r="F194" s="38"/>
      <c r="G194" s="43"/>
      <c r="I194" s="43"/>
      <c r="K194" s="43"/>
      <c r="L194" s="56"/>
      <c r="M194" s="43"/>
      <c r="N194" s="58">
        <v>281.58</v>
      </c>
      <c r="O194" s="73">
        <f>M194+N194</f>
        <v>281.58</v>
      </c>
      <c r="Q194" s="73">
        <f>O194+P194</f>
        <v>281.58</v>
      </c>
    </row>
    <row r="195" spans="1:17" ht="30" customHeight="1" x14ac:dyDescent="0.25">
      <c r="A195" s="19" t="s">
        <v>308</v>
      </c>
      <c r="B195" s="38"/>
      <c r="C195" s="38" t="s">
        <v>24</v>
      </c>
      <c r="D195" s="38" t="s">
        <v>27</v>
      </c>
      <c r="E195" s="38" t="s">
        <v>309</v>
      </c>
      <c r="F195" s="38"/>
      <c r="G195" s="43"/>
      <c r="I195" s="43"/>
      <c r="K195" s="43"/>
      <c r="L195" s="56"/>
      <c r="M195" s="43">
        <f>M196</f>
        <v>382.5</v>
      </c>
      <c r="N195" s="56"/>
      <c r="O195" s="73">
        <f>O196</f>
        <v>382.5</v>
      </c>
      <c r="Q195" s="73">
        <f>Q196</f>
        <v>382.5</v>
      </c>
    </row>
    <row r="196" spans="1:17" x14ac:dyDescent="0.25">
      <c r="A196" s="19" t="s">
        <v>224</v>
      </c>
      <c r="B196" s="38"/>
      <c r="C196" s="38" t="s">
        <v>24</v>
      </c>
      <c r="D196" s="38" t="s">
        <v>27</v>
      </c>
      <c r="E196" s="38" t="s">
        <v>309</v>
      </c>
      <c r="F196" s="38" t="s">
        <v>210</v>
      </c>
      <c r="G196" s="43"/>
      <c r="I196" s="43"/>
      <c r="K196" s="43"/>
      <c r="L196" s="56">
        <v>382.5</v>
      </c>
      <c r="M196" s="43">
        <f>K196+L196</f>
        <v>382.5</v>
      </c>
      <c r="N196" s="56"/>
      <c r="O196" s="73">
        <f>M196+N196</f>
        <v>382.5</v>
      </c>
      <c r="Q196" s="73">
        <f>O196+P196</f>
        <v>382.5</v>
      </c>
    </row>
    <row r="197" spans="1:17" x14ac:dyDescent="0.25">
      <c r="A197" s="40" t="s">
        <v>45</v>
      </c>
      <c r="B197" s="35"/>
      <c r="C197" s="35" t="s">
        <v>46</v>
      </c>
      <c r="D197" s="35"/>
      <c r="E197" s="35"/>
      <c r="F197" s="35"/>
      <c r="G197" s="44">
        <f>G202+G207</f>
        <v>300</v>
      </c>
      <c r="I197" s="44">
        <f>I202+I207</f>
        <v>300</v>
      </c>
      <c r="K197" s="44">
        <f>K202+K207</f>
        <v>300</v>
      </c>
      <c r="L197" s="56"/>
      <c r="M197" s="44">
        <f>M202+M207+M198</f>
        <v>2233.4899999999998</v>
      </c>
      <c r="N197" s="56"/>
      <c r="O197" s="72">
        <f>O202+O207+O198</f>
        <v>2321.5699999999997</v>
      </c>
      <c r="Q197" s="72">
        <f>Q202+Q207+Q198</f>
        <v>2321.5699999999997</v>
      </c>
    </row>
    <row r="198" spans="1:17" x14ac:dyDescent="0.25">
      <c r="A198" s="40" t="s">
        <v>418</v>
      </c>
      <c r="B198" s="35"/>
      <c r="C198" s="35" t="s">
        <v>46</v>
      </c>
      <c r="D198" s="35" t="s">
        <v>15</v>
      </c>
      <c r="E198" s="35"/>
      <c r="F198" s="35"/>
      <c r="G198" s="44"/>
      <c r="H198" s="57"/>
      <c r="I198" s="44"/>
      <c r="J198" s="57"/>
      <c r="K198" s="44"/>
      <c r="L198" s="57"/>
      <c r="M198" s="44">
        <f>M199</f>
        <v>770.7</v>
      </c>
      <c r="N198" s="57"/>
      <c r="O198" s="72">
        <f>O199</f>
        <v>770.7</v>
      </c>
      <c r="Q198" s="72">
        <f>Q199</f>
        <v>770.7</v>
      </c>
    </row>
    <row r="199" spans="1:17" x14ac:dyDescent="0.25">
      <c r="A199" s="19" t="s">
        <v>478</v>
      </c>
      <c r="B199" s="38"/>
      <c r="C199" s="38" t="s">
        <v>46</v>
      </c>
      <c r="D199" s="38" t="s">
        <v>15</v>
      </c>
      <c r="E199" s="38" t="s">
        <v>477</v>
      </c>
      <c r="F199" s="38"/>
      <c r="G199" s="43"/>
      <c r="I199" s="43"/>
      <c r="K199" s="43"/>
      <c r="L199" s="56"/>
      <c r="M199" s="43">
        <f>M200+M201</f>
        <v>770.7</v>
      </c>
      <c r="N199" s="56"/>
      <c r="O199" s="73">
        <f>O200+O201</f>
        <v>770.7</v>
      </c>
      <c r="Q199" s="73">
        <f>Q200+Q201</f>
        <v>770.7</v>
      </c>
    </row>
    <row r="200" spans="1:17" x14ac:dyDescent="0.25">
      <c r="A200" s="19" t="s">
        <v>224</v>
      </c>
      <c r="B200" s="38"/>
      <c r="C200" s="38" t="s">
        <v>46</v>
      </c>
      <c r="D200" s="38" t="s">
        <v>15</v>
      </c>
      <c r="E200" s="38" t="s">
        <v>477</v>
      </c>
      <c r="F200" s="38" t="s">
        <v>210</v>
      </c>
      <c r="G200" s="43"/>
      <c r="I200" s="43"/>
      <c r="K200" s="43"/>
      <c r="L200" s="56">
        <v>555.48</v>
      </c>
      <c r="M200" s="43">
        <f t="shared" ref="M200:M201" si="7">K200+L200</f>
        <v>555.48</v>
      </c>
      <c r="N200" s="56"/>
      <c r="O200" s="73">
        <f t="shared" ref="O200:Q201" si="8">M200+N200</f>
        <v>555.48</v>
      </c>
      <c r="Q200" s="73">
        <f t="shared" si="8"/>
        <v>555.48</v>
      </c>
    </row>
    <row r="201" spans="1:17" ht="60.75" customHeight="1" x14ac:dyDescent="0.25">
      <c r="A201" s="19" t="s">
        <v>240</v>
      </c>
      <c r="B201" s="38"/>
      <c r="C201" s="38" t="s">
        <v>46</v>
      </c>
      <c r="D201" s="38" t="s">
        <v>15</v>
      </c>
      <c r="E201" s="38" t="s">
        <v>477</v>
      </c>
      <c r="F201" s="38" t="s">
        <v>239</v>
      </c>
      <c r="G201" s="43"/>
      <c r="I201" s="43"/>
      <c r="K201" s="43"/>
      <c r="L201" s="56">
        <v>215.22</v>
      </c>
      <c r="M201" s="43">
        <f t="shared" si="7"/>
        <v>215.22</v>
      </c>
      <c r="N201" s="56"/>
      <c r="O201" s="73">
        <f t="shared" si="8"/>
        <v>215.22</v>
      </c>
      <c r="Q201" s="73">
        <f t="shared" si="8"/>
        <v>215.22</v>
      </c>
    </row>
    <row r="202" spans="1:17" x14ac:dyDescent="0.25">
      <c r="A202" s="40" t="s">
        <v>47</v>
      </c>
      <c r="B202" s="35"/>
      <c r="C202" s="35" t="s">
        <v>46</v>
      </c>
      <c r="D202" s="35" t="s">
        <v>17</v>
      </c>
      <c r="E202" s="35"/>
      <c r="F202" s="35"/>
      <c r="G202" s="44">
        <f>G203</f>
        <v>0</v>
      </c>
      <c r="I202" s="44">
        <f>I203</f>
        <v>0</v>
      </c>
      <c r="K202" s="44">
        <f>K203</f>
        <v>0</v>
      </c>
      <c r="L202" s="56"/>
      <c r="M202" s="44">
        <f>M203+M205</f>
        <v>1162.79</v>
      </c>
      <c r="N202" s="56"/>
      <c r="O202" s="72">
        <f>O203+O205</f>
        <v>1162.79</v>
      </c>
      <c r="Q202" s="72">
        <f>Q203+Q205</f>
        <v>1162.79</v>
      </c>
    </row>
    <row r="203" spans="1:17" ht="28.5" customHeight="1" x14ac:dyDescent="0.25">
      <c r="A203" s="19" t="s">
        <v>628</v>
      </c>
      <c r="B203" s="38"/>
      <c r="C203" s="38" t="s">
        <v>46</v>
      </c>
      <c r="D203" s="38" t="s">
        <v>17</v>
      </c>
      <c r="E203" s="38" t="s">
        <v>238</v>
      </c>
      <c r="F203" s="38"/>
      <c r="G203" s="43">
        <f>G204</f>
        <v>0</v>
      </c>
      <c r="I203" s="43">
        <f>I204</f>
        <v>0</v>
      </c>
      <c r="K203" s="43">
        <f>K204</f>
        <v>0</v>
      </c>
      <c r="L203" s="56"/>
      <c r="M203" s="43">
        <f>M204</f>
        <v>0</v>
      </c>
      <c r="N203" s="56"/>
      <c r="O203" s="73">
        <f>O204</f>
        <v>0</v>
      </c>
      <c r="Q203" s="73">
        <f>Q204</f>
        <v>0</v>
      </c>
    </row>
    <row r="204" spans="1:17" ht="16.5" customHeight="1" x14ac:dyDescent="0.25">
      <c r="A204" s="19" t="s">
        <v>345</v>
      </c>
      <c r="B204" s="38"/>
      <c r="C204" s="38" t="s">
        <v>46</v>
      </c>
      <c r="D204" s="38" t="s">
        <v>17</v>
      </c>
      <c r="E204" s="38" t="s">
        <v>238</v>
      </c>
      <c r="F204" s="38" t="s">
        <v>346</v>
      </c>
      <c r="G204" s="43"/>
      <c r="I204" s="43">
        <f>G204+H204</f>
        <v>0</v>
      </c>
      <c r="K204" s="43">
        <f>I204+J204</f>
        <v>0</v>
      </c>
      <c r="L204" s="56"/>
      <c r="M204" s="43">
        <f>K204+L204</f>
        <v>0</v>
      </c>
      <c r="N204" s="56"/>
      <c r="O204" s="73">
        <f>M204+N204</f>
        <v>0</v>
      </c>
      <c r="Q204" s="73">
        <f>O204+P204</f>
        <v>0</v>
      </c>
    </row>
    <row r="205" spans="1:17" ht="17.25" customHeight="1" x14ac:dyDescent="0.25">
      <c r="A205" s="47" t="s">
        <v>376</v>
      </c>
      <c r="B205" s="38"/>
      <c r="C205" s="38" t="s">
        <v>46</v>
      </c>
      <c r="D205" s="38" t="s">
        <v>17</v>
      </c>
      <c r="E205" s="38" t="s">
        <v>215</v>
      </c>
      <c r="F205" s="38"/>
      <c r="G205" s="43"/>
      <c r="I205" s="43"/>
      <c r="K205" s="43"/>
      <c r="L205" s="56"/>
      <c r="M205" s="43">
        <f>M206</f>
        <v>1162.79</v>
      </c>
      <c r="N205" s="56"/>
      <c r="O205" s="73">
        <f>O206</f>
        <v>1162.79</v>
      </c>
      <c r="Q205" s="73">
        <f>Q206</f>
        <v>1162.79</v>
      </c>
    </row>
    <row r="206" spans="1:17" ht="62.25" customHeight="1" x14ac:dyDescent="0.25">
      <c r="A206" s="19" t="s">
        <v>240</v>
      </c>
      <c r="B206" s="38"/>
      <c r="C206" s="38" t="s">
        <v>46</v>
      </c>
      <c r="D206" s="38" t="s">
        <v>17</v>
      </c>
      <c r="E206" s="38" t="s">
        <v>215</v>
      </c>
      <c r="F206" s="38" t="s">
        <v>239</v>
      </c>
      <c r="G206" s="43"/>
      <c r="I206" s="43"/>
      <c r="K206" s="43"/>
      <c r="L206" s="56">
        <v>1162.79</v>
      </c>
      <c r="M206" s="43">
        <f>K206+L206</f>
        <v>1162.79</v>
      </c>
      <c r="N206" s="56"/>
      <c r="O206" s="73">
        <f>M206+N206</f>
        <v>1162.79</v>
      </c>
      <c r="Q206" s="73">
        <f>O206+P206</f>
        <v>1162.79</v>
      </c>
    </row>
    <row r="207" spans="1:17" ht="16.5" customHeight="1" x14ac:dyDescent="0.25">
      <c r="A207" s="40" t="s">
        <v>48</v>
      </c>
      <c r="B207" s="35"/>
      <c r="C207" s="35" t="s">
        <v>46</v>
      </c>
      <c r="D207" s="35" t="s">
        <v>20</v>
      </c>
      <c r="E207" s="35"/>
      <c r="F207" s="35"/>
      <c r="G207" s="44">
        <f>G210</f>
        <v>300</v>
      </c>
      <c r="I207" s="44">
        <f>I210</f>
        <v>300</v>
      </c>
      <c r="K207" s="44">
        <f>K210</f>
        <v>300</v>
      </c>
      <c r="L207" s="56"/>
      <c r="M207" s="44">
        <f>M210</f>
        <v>300</v>
      </c>
      <c r="N207" s="56"/>
      <c r="O207" s="72">
        <f>O210+O208</f>
        <v>388.08</v>
      </c>
      <c r="Q207" s="72">
        <f>Q210+Q208</f>
        <v>388.08</v>
      </c>
    </row>
    <row r="208" spans="1:17" ht="16.5" customHeight="1" x14ac:dyDescent="0.25">
      <c r="A208" s="19" t="s">
        <v>571</v>
      </c>
      <c r="B208" s="38"/>
      <c r="C208" s="38" t="s">
        <v>46</v>
      </c>
      <c r="D208" s="38" t="s">
        <v>20</v>
      </c>
      <c r="E208" s="38" t="s">
        <v>215</v>
      </c>
      <c r="F208" s="38"/>
      <c r="G208" s="43"/>
      <c r="I208" s="43"/>
      <c r="K208" s="43"/>
      <c r="L208" s="56"/>
      <c r="M208" s="43"/>
      <c r="N208" s="56"/>
      <c r="O208" s="73">
        <f>O209</f>
        <v>88.08</v>
      </c>
      <c r="Q208" s="73">
        <f>Q209</f>
        <v>88.08</v>
      </c>
    </row>
    <row r="209" spans="1:17" ht="16.5" customHeight="1" x14ac:dyDescent="0.25">
      <c r="A209" s="19" t="s">
        <v>572</v>
      </c>
      <c r="B209" s="38"/>
      <c r="C209" s="38" t="s">
        <v>46</v>
      </c>
      <c r="D209" s="38" t="s">
        <v>20</v>
      </c>
      <c r="E209" s="38" t="s">
        <v>215</v>
      </c>
      <c r="F209" s="38" t="s">
        <v>210</v>
      </c>
      <c r="G209" s="43"/>
      <c r="I209" s="43"/>
      <c r="K209" s="43"/>
      <c r="L209" s="56"/>
      <c r="M209" s="43"/>
      <c r="N209" s="56">
        <v>88.08</v>
      </c>
      <c r="O209" s="73">
        <f>M209+N209</f>
        <v>88.08</v>
      </c>
      <c r="Q209" s="73">
        <f>O209+P209</f>
        <v>88.08</v>
      </c>
    </row>
    <row r="210" spans="1:17" ht="16.5" customHeight="1" x14ac:dyDescent="0.25">
      <c r="A210" s="19" t="s">
        <v>99</v>
      </c>
      <c r="B210" s="38"/>
      <c r="C210" s="38" t="s">
        <v>46</v>
      </c>
      <c r="D210" s="38" t="s">
        <v>20</v>
      </c>
      <c r="E210" s="38" t="s">
        <v>396</v>
      </c>
      <c r="F210" s="38"/>
      <c r="G210" s="43">
        <f>G211</f>
        <v>300</v>
      </c>
      <c r="I210" s="43">
        <f>I211</f>
        <v>300</v>
      </c>
      <c r="K210" s="43">
        <f>K211</f>
        <v>300</v>
      </c>
      <c r="L210" s="56"/>
      <c r="M210" s="43">
        <f>M211</f>
        <v>300</v>
      </c>
      <c r="N210" s="56"/>
      <c r="O210" s="73">
        <f>O211</f>
        <v>300</v>
      </c>
      <c r="Q210" s="73">
        <f>Q211</f>
        <v>300</v>
      </c>
    </row>
    <row r="211" spans="1:17" ht="32.25" customHeight="1" x14ac:dyDescent="0.25">
      <c r="A211" s="19" t="s">
        <v>272</v>
      </c>
      <c r="B211" s="38"/>
      <c r="C211" s="38" t="s">
        <v>46</v>
      </c>
      <c r="D211" s="38" t="s">
        <v>20</v>
      </c>
      <c r="E211" s="38" t="s">
        <v>396</v>
      </c>
      <c r="F211" s="38" t="s">
        <v>271</v>
      </c>
      <c r="G211" s="43">
        <v>300</v>
      </c>
      <c r="I211" s="43">
        <f>G211+H211</f>
        <v>300</v>
      </c>
      <c r="K211" s="43">
        <f>I211+J211</f>
        <v>300</v>
      </c>
      <c r="L211" s="56"/>
      <c r="M211" s="43">
        <f>K211+L211</f>
        <v>300</v>
      </c>
      <c r="N211" s="56"/>
      <c r="O211" s="73">
        <f>M211+N211</f>
        <v>300</v>
      </c>
      <c r="Q211" s="73">
        <f>O211+P211</f>
        <v>300</v>
      </c>
    </row>
    <row r="212" spans="1:17" x14ac:dyDescent="0.25">
      <c r="A212" s="40" t="s">
        <v>55</v>
      </c>
      <c r="B212" s="35"/>
      <c r="C212" s="35" t="s">
        <v>56</v>
      </c>
      <c r="D212" s="35"/>
      <c r="E212" s="35"/>
      <c r="F212" s="35"/>
      <c r="G212" s="44">
        <f>G213+G237+G270+G274+G281</f>
        <v>150039.69</v>
      </c>
      <c r="I212" s="44">
        <f>I213+I237+I270+I274+I281</f>
        <v>150039.69</v>
      </c>
      <c r="K212" s="44">
        <f>K213+K237+K270+K274+K281</f>
        <v>150039.69</v>
      </c>
      <c r="L212" s="56"/>
      <c r="M212" s="44">
        <f>M213+M237+M270+M274+M281</f>
        <v>153899.19</v>
      </c>
      <c r="N212" s="56"/>
      <c r="O212" s="72">
        <f>O213+O237+O270+O274+O281</f>
        <v>155552.16999999998</v>
      </c>
      <c r="Q212" s="72">
        <f>Q213+Q237+Q270+Q274+Q281</f>
        <v>155552.16999999998</v>
      </c>
    </row>
    <row r="213" spans="1:17" ht="15" customHeight="1" x14ac:dyDescent="0.25">
      <c r="A213" s="40" t="s">
        <v>57</v>
      </c>
      <c r="B213" s="35"/>
      <c r="C213" s="35" t="s">
        <v>56</v>
      </c>
      <c r="D213" s="35" t="s">
        <v>15</v>
      </c>
      <c r="E213" s="35"/>
      <c r="F213" s="35"/>
      <c r="G213" s="44">
        <f>G216</f>
        <v>49007.89</v>
      </c>
      <c r="I213" s="44">
        <f>I216</f>
        <v>49007.89</v>
      </c>
      <c r="K213" s="44">
        <f>K216</f>
        <v>49007.89</v>
      </c>
      <c r="L213" s="56"/>
      <c r="M213" s="44">
        <f>M216+M231</f>
        <v>52999.75</v>
      </c>
      <c r="N213" s="56"/>
      <c r="O213" s="72">
        <f>O216+O231+O214+O234</f>
        <v>55670.87</v>
      </c>
      <c r="Q213" s="72">
        <f>Q216+Q231+Q214+Q234</f>
        <v>55670.87</v>
      </c>
    </row>
    <row r="214" spans="1:17" ht="15" customHeight="1" x14ac:dyDescent="0.25">
      <c r="A214" s="19" t="s">
        <v>574</v>
      </c>
      <c r="B214" s="38"/>
      <c r="C214" s="38" t="s">
        <v>56</v>
      </c>
      <c r="D214" s="38" t="s">
        <v>15</v>
      </c>
      <c r="E214" s="38" t="s">
        <v>573</v>
      </c>
      <c r="F214" s="38"/>
      <c r="G214" s="43"/>
      <c r="I214" s="43"/>
      <c r="K214" s="43"/>
      <c r="L214" s="56"/>
      <c r="M214" s="43"/>
      <c r="N214" s="56"/>
      <c r="O214" s="73">
        <f>O215</f>
        <v>884.82</v>
      </c>
      <c r="Q214" s="73">
        <f>Q215</f>
        <v>884.82</v>
      </c>
    </row>
    <row r="215" spans="1:17" ht="15" customHeight="1" x14ac:dyDescent="0.25">
      <c r="A215" s="19" t="s">
        <v>245</v>
      </c>
      <c r="B215" s="38"/>
      <c r="C215" s="38" t="s">
        <v>56</v>
      </c>
      <c r="D215" s="38" t="s">
        <v>15</v>
      </c>
      <c r="E215" s="38" t="s">
        <v>573</v>
      </c>
      <c r="F215" s="38" t="s">
        <v>244</v>
      </c>
      <c r="G215" s="43"/>
      <c r="I215" s="43"/>
      <c r="K215" s="43"/>
      <c r="L215" s="56"/>
      <c r="M215" s="43"/>
      <c r="N215" s="56">
        <v>884.82</v>
      </c>
      <c r="O215" s="73">
        <f>M215+N215</f>
        <v>884.82</v>
      </c>
      <c r="Q215" s="73">
        <f>O215+P215</f>
        <v>884.82</v>
      </c>
    </row>
    <row r="216" spans="1:17" ht="15" customHeight="1" x14ac:dyDescent="0.25">
      <c r="A216" s="19" t="s">
        <v>338</v>
      </c>
      <c r="B216" s="38"/>
      <c r="C216" s="38" t="s">
        <v>56</v>
      </c>
      <c r="D216" s="38" t="s">
        <v>15</v>
      </c>
      <c r="E216" s="38" t="s">
        <v>337</v>
      </c>
      <c r="F216" s="38"/>
      <c r="G216" s="43">
        <f>G217+G221+G225</f>
        <v>49007.89</v>
      </c>
      <c r="I216" s="43">
        <f>I217+I221+I225</f>
        <v>49007.89</v>
      </c>
      <c r="K216" s="43">
        <f>K217+K221+K225</f>
        <v>49007.89</v>
      </c>
      <c r="L216" s="56"/>
      <c r="M216" s="43">
        <f>M217+M221+M225+M219+M228</f>
        <v>50761.75</v>
      </c>
      <c r="N216" s="56"/>
      <c r="O216" s="73">
        <f>O217+O221+O225+O219+O228</f>
        <v>50761.75</v>
      </c>
      <c r="Q216" s="73">
        <f>Q217+Q221+Q225+Q219+Q228</f>
        <v>50761.75</v>
      </c>
    </row>
    <row r="217" spans="1:17" ht="46.5" customHeight="1" x14ac:dyDescent="0.25">
      <c r="A217" s="47" t="s">
        <v>380</v>
      </c>
      <c r="B217" s="38"/>
      <c r="C217" s="38" t="s">
        <v>56</v>
      </c>
      <c r="D217" s="38" t="s">
        <v>15</v>
      </c>
      <c r="E217" s="38" t="s">
        <v>336</v>
      </c>
      <c r="F217" s="38"/>
      <c r="G217" s="43">
        <f>G218</f>
        <v>144.09</v>
      </c>
      <c r="I217" s="43">
        <f>I218</f>
        <v>144.09</v>
      </c>
      <c r="K217" s="43">
        <f>K218</f>
        <v>144.09</v>
      </c>
      <c r="L217" s="56"/>
      <c r="M217" s="43">
        <f>M218</f>
        <v>144.09</v>
      </c>
      <c r="N217" s="56"/>
      <c r="O217" s="73">
        <f>O218</f>
        <v>144.09</v>
      </c>
      <c r="Q217" s="73">
        <f>Q218</f>
        <v>144.09</v>
      </c>
    </row>
    <row r="218" spans="1:17" ht="31.5" customHeight="1" x14ac:dyDescent="0.25">
      <c r="A218" s="19" t="s">
        <v>242</v>
      </c>
      <c r="B218" s="38"/>
      <c r="C218" s="38" t="s">
        <v>56</v>
      </c>
      <c r="D218" s="38" t="s">
        <v>15</v>
      </c>
      <c r="E218" s="38" t="s">
        <v>336</v>
      </c>
      <c r="F218" s="38" t="s">
        <v>243</v>
      </c>
      <c r="G218" s="43">
        <v>144.09</v>
      </c>
      <c r="I218" s="43">
        <f>G218+H218</f>
        <v>144.09</v>
      </c>
      <c r="K218" s="43">
        <f>I218+J218</f>
        <v>144.09</v>
      </c>
      <c r="L218" s="56"/>
      <c r="M218" s="43">
        <f>K218+L218</f>
        <v>144.09</v>
      </c>
      <c r="N218" s="56"/>
      <c r="O218" s="73">
        <f>M218+N218</f>
        <v>144.09</v>
      </c>
      <c r="Q218" s="73">
        <f>O218+P218</f>
        <v>144.09</v>
      </c>
    </row>
    <row r="219" spans="1:17" ht="45" customHeight="1" x14ac:dyDescent="0.25">
      <c r="A219" s="19" t="s">
        <v>482</v>
      </c>
      <c r="B219" s="38"/>
      <c r="C219" s="38" t="s">
        <v>56</v>
      </c>
      <c r="D219" s="38" t="s">
        <v>15</v>
      </c>
      <c r="E219" s="38" t="s">
        <v>481</v>
      </c>
      <c r="F219" s="38"/>
      <c r="G219" s="43"/>
      <c r="I219" s="43"/>
      <c r="K219" s="43"/>
      <c r="L219" s="56"/>
      <c r="M219" s="43">
        <f>M220</f>
        <v>371.28</v>
      </c>
      <c r="N219" s="56"/>
      <c r="O219" s="73">
        <f>O220</f>
        <v>371.28</v>
      </c>
      <c r="Q219" s="73">
        <f>Q220</f>
        <v>371.28</v>
      </c>
    </row>
    <row r="220" spans="1:17" ht="18.75" customHeight="1" x14ac:dyDescent="0.25">
      <c r="A220" s="19" t="s">
        <v>249</v>
      </c>
      <c r="B220" s="38"/>
      <c r="C220" s="38" t="s">
        <v>56</v>
      </c>
      <c r="D220" s="38" t="s">
        <v>15</v>
      </c>
      <c r="E220" s="38" t="s">
        <v>481</v>
      </c>
      <c r="F220" s="38" t="s">
        <v>248</v>
      </c>
      <c r="G220" s="43"/>
      <c r="I220" s="43"/>
      <c r="K220" s="43"/>
      <c r="L220" s="56">
        <v>371.28</v>
      </c>
      <c r="M220" s="43">
        <f>K220+L220</f>
        <v>371.28</v>
      </c>
      <c r="N220" s="56"/>
      <c r="O220" s="73">
        <f>M220+N220</f>
        <v>371.28</v>
      </c>
      <c r="Q220" s="73">
        <f>O220+P220</f>
        <v>371.28</v>
      </c>
    </row>
    <row r="221" spans="1:17" ht="17.25" customHeight="1" x14ac:dyDescent="0.25">
      <c r="A221" s="19" t="s">
        <v>52</v>
      </c>
      <c r="B221" s="38"/>
      <c r="C221" s="38" t="s">
        <v>56</v>
      </c>
      <c r="D221" s="38" t="s">
        <v>15</v>
      </c>
      <c r="E221" s="38" t="s">
        <v>241</v>
      </c>
      <c r="F221" s="38"/>
      <c r="G221" s="43">
        <f>G222</f>
        <v>13493.7</v>
      </c>
      <c r="I221" s="43">
        <f>I222</f>
        <v>13493.7</v>
      </c>
      <c r="K221" s="43">
        <f>K222</f>
        <v>13493.7</v>
      </c>
      <c r="L221" s="56"/>
      <c r="M221" s="43">
        <f>M222</f>
        <v>13493.7</v>
      </c>
      <c r="N221" s="56"/>
      <c r="O221" s="73">
        <f>O222</f>
        <v>13493.7</v>
      </c>
      <c r="Q221" s="73">
        <f>Q222</f>
        <v>13493.7</v>
      </c>
    </row>
    <row r="222" spans="1:17" x14ac:dyDescent="0.25">
      <c r="A222" s="19" t="s">
        <v>251</v>
      </c>
      <c r="B222" s="38"/>
      <c r="C222" s="38" t="s">
        <v>56</v>
      </c>
      <c r="D222" s="38" t="s">
        <v>15</v>
      </c>
      <c r="E222" s="38" t="s">
        <v>241</v>
      </c>
      <c r="F222" s="38" t="s">
        <v>250</v>
      </c>
      <c r="G222" s="43">
        <f>G223+G224</f>
        <v>13493.7</v>
      </c>
      <c r="I222" s="43">
        <f>I223+I224</f>
        <v>13493.7</v>
      </c>
      <c r="K222" s="43">
        <f>K223+K224</f>
        <v>13493.7</v>
      </c>
      <c r="L222" s="56"/>
      <c r="M222" s="43">
        <f>M223+M224</f>
        <v>13493.7</v>
      </c>
      <c r="N222" s="56"/>
      <c r="O222" s="73">
        <f>O223+O224</f>
        <v>13493.7</v>
      </c>
      <c r="Q222" s="73">
        <f>Q223+Q224</f>
        <v>13493.7</v>
      </c>
    </row>
    <row r="223" spans="1:17" ht="28.5" customHeight="1" x14ac:dyDescent="0.25">
      <c r="A223" s="19" t="s">
        <v>242</v>
      </c>
      <c r="B223" s="38"/>
      <c r="C223" s="38" t="s">
        <v>56</v>
      </c>
      <c r="D223" s="38" t="s">
        <v>15</v>
      </c>
      <c r="E223" s="38" t="s">
        <v>241</v>
      </c>
      <c r="F223" s="38" t="s">
        <v>243</v>
      </c>
      <c r="G223" s="43">
        <f>9932.2+3516.1</f>
        <v>13448.300000000001</v>
      </c>
      <c r="I223" s="43">
        <f>G223+H223</f>
        <v>13448.300000000001</v>
      </c>
      <c r="K223" s="43">
        <f>I223+J223</f>
        <v>13448.300000000001</v>
      </c>
      <c r="L223" s="56"/>
      <c r="M223" s="43">
        <f>K223+L223</f>
        <v>13448.300000000001</v>
      </c>
      <c r="N223" s="56"/>
      <c r="O223" s="73">
        <f>M223+N223</f>
        <v>13448.300000000001</v>
      </c>
      <c r="Q223" s="73">
        <f>O223+P223</f>
        <v>13448.300000000001</v>
      </c>
    </row>
    <row r="224" spans="1:17" ht="18.75" customHeight="1" x14ac:dyDescent="0.25">
      <c r="A224" s="19" t="s">
        <v>245</v>
      </c>
      <c r="B224" s="38"/>
      <c r="C224" s="38" t="s">
        <v>56</v>
      </c>
      <c r="D224" s="38" t="s">
        <v>15</v>
      </c>
      <c r="E224" s="38" t="s">
        <v>241</v>
      </c>
      <c r="F224" s="38" t="s">
        <v>244</v>
      </c>
      <c r="G224" s="43">
        <f>45.4+5500-5500</f>
        <v>45.399999999999636</v>
      </c>
      <c r="I224" s="43">
        <f>G224+H224</f>
        <v>45.399999999999636</v>
      </c>
      <c r="K224" s="43">
        <f>I224+J224</f>
        <v>45.399999999999636</v>
      </c>
      <c r="L224" s="56"/>
      <c r="M224" s="43">
        <f>K224+L224</f>
        <v>45.399999999999636</v>
      </c>
      <c r="N224" s="56"/>
      <c r="O224" s="73">
        <f>M224+N224</f>
        <v>45.399999999999636</v>
      </c>
      <c r="Q224" s="73">
        <f>O224+P224</f>
        <v>45.399999999999636</v>
      </c>
    </row>
    <row r="225" spans="1:17" ht="19.5" customHeight="1" x14ac:dyDescent="0.25">
      <c r="A225" s="19" t="s">
        <v>252</v>
      </c>
      <c r="B225" s="38"/>
      <c r="C225" s="38" t="s">
        <v>56</v>
      </c>
      <c r="D225" s="38" t="s">
        <v>15</v>
      </c>
      <c r="E225" s="38" t="s">
        <v>241</v>
      </c>
      <c r="F225" s="38" t="s">
        <v>254</v>
      </c>
      <c r="G225" s="43">
        <f>G226+G227</f>
        <v>35370.1</v>
      </c>
      <c r="I225" s="43">
        <f>I226+I227</f>
        <v>35370.1</v>
      </c>
      <c r="K225" s="43">
        <f>K226+K227</f>
        <v>35370.1</v>
      </c>
      <c r="L225" s="56"/>
      <c r="M225" s="43">
        <f>M226+M227</f>
        <v>35843.78</v>
      </c>
      <c r="N225" s="56"/>
      <c r="O225" s="73">
        <f>O226+O227</f>
        <v>35843.78</v>
      </c>
      <c r="Q225" s="73">
        <f>Q226+Q227</f>
        <v>35843.78</v>
      </c>
    </row>
    <row r="226" spans="1:17" ht="31.5" customHeight="1" x14ac:dyDescent="0.25">
      <c r="A226" s="19" t="s">
        <v>246</v>
      </c>
      <c r="B226" s="38"/>
      <c r="C226" s="38" t="s">
        <v>56</v>
      </c>
      <c r="D226" s="38" t="s">
        <v>15</v>
      </c>
      <c r="E226" s="38" t="s">
        <v>241</v>
      </c>
      <c r="F226" s="38" t="s">
        <v>247</v>
      </c>
      <c r="G226" s="43">
        <f>23187.7+8912.4+3200</f>
        <v>35300.1</v>
      </c>
      <c r="I226" s="43">
        <f>G226+H226</f>
        <v>35300.1</v>
      </c>
      <c r="K226" s="43">
        <f>I226+J226</f>
        <v>35300.1</v>
      </c>
      <c r="L226" s="56">
        <v>473.68</v>
      </c>
      <c r="M226" s="43">
        <f>K226+L226</f>
        <v>35773.78</v>
      </c>
      <c r="N226" s="56"/>
      <c r="O226" s="73">
        <f>M226+N226</f>
        <v>35773.78</v>
      </c>
      <c r="Q226" s="73">
        <f>O226+P226</f>
        <v>35773.78</v>
      </c>
    </row>
    <row r="227" spans="1:17" x14ac:dyDescent="0.25">
      <c r="A227" s="19" t="s">
        <v>249</v>
      </c>
      <c r="B227" s="38"/>
      <c r="C227" s="38" t="s">
        <v>56</v>
      </c>
      <c r="D227" s="38" t="s">
        <v>15</v>
      </c>
      <c r="E227" s="38" t="s">
        <v>241</v>
      </c>
      <c r="F227" s="38" t="s">
        <v>248</v>
      </c>
      <c r="G227" s="43">
        <v>70</v>
      </c>
      <c r="I227" s="43">
        <f>G227+H227</f>
        <v>70</v>
      </c>
      <c r="K227" s="43">
        <f>I227+J227</f>
        <v>70</v>
      </c>
      <c r="L227" s="56"/>
      <c r="M227" s="43">
        <f>K227+L227</f>
        <v>70</v>
      </c>
      <c r="N227" s="56"/>
      <c r="O227" s="73">
        <f>M227+N227</f>
        <v>70</v>
      </c>
      <c r="Q227" s="73">
        <f>O227+P227</f>
        <v>70</v>
      </c>
    </row>
    <row r="228" spans="1:17" ht="31.5" customHeight="1" x14ac:dyDescent="0.25">
      <c r="A228" s="19" t="s">
        <v>485</v>
      </c>
      <c r="B228" s="38"/>
      <c r="C228" s="38" t="s">
        <v>56</v>
      </c>
      <c r="D228" s="38" t="s">
        <v>15</v>
      </c>
      <c r="E228" s="38" t="s">
        <v>483</v>
      </c>
      <c r="F228" s="38"/>
      <c r="G228" s="43"/>
      <c r="I228" s="43"/>
      <c r="K228" s="43"/>
      <c r="L228" s="56"/>
      <c r="M228" s="43">
        <f>M229+M230</f>
        <v>908.90000000000009</v>
      </c>
      <c r="N228" s="56"/>
      <c r="O228" s="73">
        <f>O229+O230</f>
        <v>908.90000000000009</v>
      </c>
      <c r="Q228" s="73">
        <f>Q229+Q230</f>
        <v>908.90000000000009</v>
      </c>
    </row>
    <row r="229" spans="1:17" ht="31.5" customHeight="1" x14ac:dyDescent="0.25">
      <c r="A229" s="19" t="s">
        <v>242</v>
      </c>
      <c r="B229" s="38"/>
      <c r="C229" s="38" t="s">
        <v>56</v>
      </c>
      <c r="D229" s="38" t="s">
        <v>15</v>
      </c>
      <c r="E229" s="38" t="s">
        <v>483</v>
      </c>
      <c r="F229" s="38" t="s">
        <v>243</v>
      </c>
      <c r="G229" s="43"/>
      <c r="I229" s="43"/>
      <c r="K229" s="43"/>
      <c r="L229" s="56">
        <v>279.8</v>
      </c>
      <c r="M229" s="43">
        <f>K229+L229</f>
        <v>279.8</v>
      </c>
      <c r="N229" s="56"/>
      <c r="O229" s="73">
        <f>M229+N229</f>
        <v>279.8</v>
      </c>
      <c r="Q229" s="73">
        <f>O229+P229</f>
        <v>279.8</v>
      </c>
    </row>
    <row r="230" spans="1:17" ht="31.5" customHeight="1" x14ac:dyDescent="0.25">
      <c r="A230" s="19" t="s">
        <v>246</v>
      </c>
      <c r="B230" s="38"/>
      <c r="C230" s="38" t="s">
        <v>56</v>
      </c>
      <c r="D230" s="38" t="s">
        <v>15</v>
      </c>
      <c r="E230" s="38" t="s">
        <v>483</v>
      </c>
      <c r="F230" s="38" t="s">
        <v>247</v>
      </c>
      <c r="G230" s="43"/>
      <c r="I230" s="43"/>
      <c r="K230" s="43"/>
      <c r="L230" s="56">
        <v>629.1</v>
      </c>
      <c r="M230" s="43">
        <f>K230+L230</f>
        <v>629.1</v>
      </c>
      <c r="N230" s="56"/>
      <c r="O230" s="73">
        <f>M230+N230</f>
        <v>629.1</v>
      </c>
      <c r="Q230" s="73">
        <f>O230+P230</f>
        <v>629.1</v>
      </c>
    </row>
    <row r="231" spans="1:17" ht="30" customHeight="1" x14ac:dyDescent="0.25">
      <c r="A231" s="19" t="s">
        <v>486</v>
      </c>
      <c r="B231" s="38"/>
      <c r="C231" s="38" t="s">
        <v>56</v>
      </c>
      <c r="D231" s="38" t="s">
        <v>15</v>
      </c>
      <c r="E231" s="38" t="s">
        <v>484</v>
      </c>
      <c r="F231" s="38"/>
      <c r="G231" s="43"/>
      <c r="I231" s="43"/>
      <c r="K231" s="43"/>
      <c r="L231" s="56"/>
      <c r="M231" s="43">
        <f>M232+M233</f>
        <v>2238</v>
      </c>
      <c r="N231" s="56"/>
      <c r="O231" s="73">
        <f>O232+O233</f>
        <v>2238</v>
      </c>
      <c r="Q231" s="73">
        <f>Q232+Q233</f>
        <v>2238</v>
      </c>
    </row>
    <row r="232" spans="1:17" ht="31.5" x14ac:dyDescent="0.25">
      <c r="A232" s="19" t="s">
        <v>242</v>
      </c>
      <c r="B232" s="38"/>
      <c r="C232" s="38" t="s">
        <v>56</v>
      </c>
      <c r="D232" s="38" t="s">
        <v>15</v>
      </c>
      <c r="E232" s="38" t="s">
        <v>484</v>
      </c>
      <c r="F232" s="38" t="s">
        <v>243</v>
      </c>
      <c r="G232" s="43"/>
      <c r="I232" s="43"/>
      <c r="K232" s="43"/>
      <c r="L232" s="56">
        <v>688.8</v>
      </c>
      <c r="M232" s="43">
        <f>K232+L232</f>
        <v>688.8</v>
      </c>
      <c r="N232" s="56"/>
      <c r="O232" s="73">
        <f>M232+N232</f>
        <v>688.8</v>
      </c>
      <c r="Q232" s="73">
        <f>O232+P232</f>
        <v>688.8</v>
      </c>
    </row>
    <row r="233" spans="1:17" ht="31.5" x14ac:dyDescent="0.25">
      <c r="A233" s="19" t="s">
        <v>246</v>
      </c>
      <c r="B233" s="38"/>
      <c r="C233" s="38" t="s">
        <v>56</v>
      </c>
      <c r="D233" s="38" t="s">
        <v>15</v>
      </c>
      <c r="E233" s="38" t="s">
        <v>484</v>
      </c>
      <c r="F233" s="38" t="s">
        <v>247</v>
      </c>
      <c r="G233" s="43"/>
      <c r="I233" s="43"/>
      <c r="K233" s="43"/>
      <c r="L233" s="56">
        <v>1549.2</v>
      </c>
      <c r="M233" s="43">
        <f>K233+L233</f>
        <v>1549.2</v>
      </c>
      <c r="N233" s="56"/>
      <c r="O233" s="73">
        <f>M233+N233</f>
        <v>1549.2</v>
      </c>
      <c r="Q233" s="73">
        <f>O233+P233</f>
        <v>1549.2</v>
      </c>
    </row>
    <row r="234" spans="1:17" x14ac:dyDescent="0.25">
      <c r="A234" s="19" t="s">
        <v>575</v>
      </c>
      <c r="B234" s="38"/>
      <c r="C234" s="38" t="s">
        <v>56</v>
      </c>
      <c r="D234" s="38" t="s">
        <v>15</v>
      </c>
      <c r="E234" s="38" t="s">
        <v>398</v>
      </c>
      <c r="F234" s="38"/>
      <c r="G234" s="43"/>
      <c r="I234" s="43"/>
      <c r="K234" s="43"/>
      <c r="L234" s="56"/>
      <c r="M234" s="43"/>
      <c r="N234" s="56"/>
      <c r="O234" s="73">
        <f>O235+O236</f>
        <v>1786.3</v>
      </c>
      <c r="Q234" s="73">
        <f>Q235+Q236</f>
        <v>1786.3</v>
      </c>
    </row>
    <row r="235" spans="1:17" x14ac:dyDescent="0.25">
      <c r="A235" s="19" t="s">
        <v>245</v>
      </c>
      <c r="B235" s="38"/>
      <c r="C235" s="38" t="s">
        <v>56</v>
      </c>
      <c r="D235" s="38" t="s">
        <v>15</v>
      </c>
      <c r="E235" s="38" t="s">
        <v>398</v>
      </c>
      <c r="F235" s="38" t="s">
        <v>244</v>
      </c>
      <c r="G235" s="43"/>
      <c r="I235" s="43"/>
      <c r="K235" s="43"/>
      <c r="L235" s="56"/>
      <c r="M235" s="43"/>
      <c r="N235" s="56">
        <v>1237</v>
      </c>
      <c r="O235" s="73">
        <f>M235+N235</f>
        <v>1237</v>
      </c>
      <c r="Q235" s="73">
        <f>O235+P235</f>
        <v>1237</v>
      </c>
    </row>
    <row r="236" spans="1:17" x14ac:dyDescent="0.25">
      <c r="A236" s="19" t="s">
        <v>249</v>
      </c>
      <c r="B236" s="38"/>
      <c r="C236" s="38" t="s">
        <v>56</v>
      </c>
      <c r="D236" s="38" t="s">
        <v>15</v>
      </c>
      <c r="E236" s="38" t="s">
        <v>398</v>
      </c>
      <c r="F236" s="38" t="s">
        <v>248</v>
      </c>
      <c r="G236" s="43"/>
      <c r="I236" s="43"/>
      <c r="K236" s="43"/>
      <c r="L236" s="56"/>
      <c r="M236" s="43"/>
      <c r="N236" s="56">
        <v>549.29999999999995</v>
      </c>
      <c r="O236" s="73">
        <f>M236+N236</f>
        <v>549.29999999999995</v>
      </c>
      <c r="Q236" s="73">
        <f>O236+P236</f>
        <v>549.29999999999995</v>
      </c>
    </row>
    <row r="237" spans="1:17" x14ac:dyDescent="0.25">
      <c r="A237" s="40" t="s">
        <v>80</v>
      </c>
      <c r="B237" s="35"/>
      <c r="C237" s="35" t="s">
        <v>56</v>
      </c>
      <c r="D237" s="35" t="s">
        <v>17</v>
      </c>
      <c r="E237" s="35"/>
      <c r="F237" s="35"/>
      <c r="G237" s="44">
        <f>G238+G255+G245+G264</f>
        <v>98004</v>
      </c>
      <c r="I237" s="44">
        <f>I238+I255+I245+I264</f>
        <v>98004</v>
      </c>
      <c r="K237" s="44">
        <f>K238+K255+K245+K264</f>
        <v>98004</v>
      </c>
      <c r="L237" s="56"/>
      <c r="M237" s="44">
        <f>M238+M255+M245+M264+M249+M262</f>
        <v>97304.639999999999</v>
      </c>
      <c r="N237" s="56"/>
      <c r="O237" s="72">
        <f>O238+O255+O245+O264+O249+O262+O252+O267</f>
        <v>96063.39</v>
      </c>
      <c r="Q237" s="72">
        <f>Q238+Q255+Q245+Q264+Q249+Q262+Q252+Q267</f>
        <v>96063.39</v>
      </c>
    </row>
    <row r="238" spans="1:17" ht="15" customHeight="1" x14ac:dyDescent="0.25">
      <c r="A238" s="19" t="s">
        <v>118</v>
      </c>
      <c r="B238" s="38"/>
      <c r="C238" s="38" t="s">
        <v>56</v>
      </c>
      <c r="D238" s="38" t="s">
        <v>17</v>
      </c>
      <c r="E238" s="38" t="s">
        <v>253</v>
      </c>
      <c r="F238" s="38"/>
      <c r="G238" s="43">
        <f>G239+G242</f>
        <v>17665.599999999999</v>
      </c>
      <c r="I238" s="43">
        <f>I239+I242</f>
        <v>17665.599999999999</v>
      </c>
      <c r="K238" s="43">
        <f>K239+K242</f>
        <v>17665.599999999999</v>
      </c>
      <c r="L238" s="56"/>
      <c r="M238" s="43">
        <f>M239+M242</f>
        <v>13903.94</v>
      </c>
      <c r="N238" s="56"/>
      <c r="O238" s="73">
        <f>O239+O242</f>
        <v>13603.939999999999</v>
      </c>
      <c r="Q238" s="73">
        <f>Q239+Q242</f>
        <v>13603.939999999999</v>
      </c>
    </row>
    <row r="239" spans="1:17" x14ac:dyDescent="0.25">
      <c r="A239" s="19" t="s">
        <v>251</v>
      </c>
      <c r="B239" s="38"/>
      <c r="C239" s="38" t="s">
        <v>56</v>
      </c>
      <c r="D239" s="38" t="s">
        <v>17</v>
      </c>
      <c r="E239" s="38" t="s">
        <v>253</v>
      </c>
      <c r="F239" s="38" t="s">
        <v>250</v>
      </c>
      <c r="G239" s="43">
        <f>G240+G241</f>
        <v>3085</v>
      </c>
      <c r="I239" s="43">
        <f>I240+I241</f>
        <v>3085</v>
      </c>
      <c r="K239" s="43">
        <f>K240+K241</f>
        <v>3085</v>
      </c>
      <c r="L239" s="56"/>
      <c r="M239" s="43">
        <f>M240+M241</f>
        <v>2135.34</v>
      </c>
      <c r="N239" s="56"/>
      <c r="O239" s="73">
        <f>O240+O241</f>
        <v>2927.3599999999997</v>
      </c>
      <c r="Q239" s="73">
        <f>Q240+Q241</f>
        <v>2927.3599999999997</v>
      </c>
    </row>
    <row r="240" spans="1:17" ht="29.25" customHeight="1" x14ac:dyDescent="0.25">
      <c r="A240" s="19" t="s">
        <v>242</v>
      </c>
      <c r="B240" s="38"/>
      <c r="C240" s="38" t="s">
        <v>56</v>
      </c>
      <c r="D240" s="38" t="s">
        <v>17</v>
      </c>
      <c r="E240" s="38" t="s">
        <v>253</v>
      </c>
      <c r="F240" s="38" t="s">
        <v>243</v>
      </c>
      <c r="G240" s="43">
        <f xml:space="preserve"> 1182.3</f>
        <v>1182.3</v>
      </c>
      <c r="I240" s="43">
        <f>G240+H240</f>
        <v>1182.3</v>
      </c>
      <c r="K240" s="43">
        <f>I240+J240</f>
        <v>1182.3</v>
      </c>
      <c r="L240" s="56">
        <v>1088.4000000000001</v>
      </c>
      <c r="M240" s="43">
        <f>K240+L240</f>
        <v>2270.6999999999998</v>
      </c>
      <c r="N240" s="56"/>
      <c r="O240" s="73">
        <f>M240+N240</f>
        <v>2270.6999999999998</v>
      </c>
      <c r="Q240" s="73">
        <f>O240+P240</f>
        <v>2270.6999999999998</v>
      </c>
    </row>
    <row r="241" spans="1:17" x14ac:dyDescent="0.25">
      <c r="A241" s="19" t="s">
        <v>245</v>
      </c>
      <c r="B241" s="38"/>
      <c r="C241" s="38" t="s">
        <v>56</v>
      </c>
      <c r="D241" s="38" t="s">
        <v>17</v>
      </c>
      <c r="E241" s="38" t="s">
        <v>253</v>
      </c>
      <c r="F241" s="38" t="s">
        <v>244</v>
      </c>
      <c r="G241" s="43">
        <f>1088.4+204+610.3</f>
        <v>1902.7</v>
      </c>
      <c r="I241" s="43">
        <f>G241+H241</f>
        <v>1902.7</v>
      </c>
      <c r="K241" s="43">
        <f>I241+J241</f>
        <v>1902.7</v>
      </c>
      <c r="L241" s="56">
        <f>-1245.8-68-84.26-640</f>
        <v>-2038.06</v>
      </c>
      <c r="M241" s="43">
        <f>K241+L241</f>
        <v>-135.3599999999999</v>
      </c>
      <c r="N241" s="56">
        <v>792.02</v>
      </c>
      <c r="O241" s="73">
        <f>M241+N241</f>
        <v>656.66000000000008</v>
      </c>
      <c r="Q241" s="73">
        <f>O241+P241</f>
        <v>656.66000000000008</v>
      </c>
    </row>
    <row r="242" spans="1:17" x14ac:dyDescent="0.25">
      <c r="A242" s="19" t="s">
        <v>252</v>
      </c>
      <c r="B242" s="38"/>
      <c r="C242" s="38" t="s">
        <v>56</v>
      </c>
      <c r="D242" s="38" t="s">
        <v>17</v>
      </c>
      <c r="E242" s="38" t="s">
        <v>253</v>
      </c>
      <c r="F242" s="38" t="s">
        <v>254</v>
      </c>
      <c r="G242" s="43">
        <f>G243+G244</f>
        <v>14580.6</v>
      </c>
      <c r="I242" s="43">
        <f>I243+I244</f>
        <v>14580.6</v>
      </c>
      <c r="K242" s="43">
        <f>K243+K244</f>
        <v>14580.6</v>
      </c>
      <c r="L242" s="56"/>
      <c r="M242" s="43">
        <f>M243+M244</f>
        <v>11768.6</v>
      </c>
      <c r="N242" s="56"/>
      <c r="O242" s="73">
        <f>O243+O244</f>
        <v>10676.58</v>
      </c>
      <c r="Q242" s="73">
        <f>Q243+Q244</f>
        <v>10676.58</v>
      </c>
    </row>
    <row r="243" spans="1:17" ht="31.5" customHeight="1" x14ac:dyDescent="0.25">
      <c r="A243" s="19" t="s">
        <v>246</v>
      </c>
      <c r="B243" s="38"/>
      <c r="C243" s="38" t="s">
        <v>56</v>
      </c>
      <c r="D243" s="38" t="s">
        <v>17</v>
      </c>
      <c r="E243" s="38" t="s">
        <v>253</v>
      </c>
      <c r="F243" s="38" t="s">
        <v>247</v>
      </c>
      <c r="G243" s="43">
        <f>3174.9+2261.5</f>
        <v>5436.4</v>
      </c>
      <c r="I243" s="43">
        <f>G243+H243</f>
        <v>5436.4</v>
      </c>
      <c r="K243" s="43">
        <f>I243+J243</f>
        <v>5436.4</v>
      </c>
      <c r="L243" s="56">
        <v>1452.9</v>
      </c>
      <c r="M243" s="43">
        <f>K243+L243</f>
        <v>6889.2999999999993</v>
      </c>
      <c r="N243" s="56"/>
      <c r="O243" s="73">
        <f>M243+N243</f>
        <v>6889.2999999999993</v>
      </c>
      <c r="Q243" s="73">
        <f>O243+P243</f>
        <v>6889.2999999999993</v>
      </c>
    </row>
    <row r="244" spans="1:17" x14ac:dyDescent="0.25">
      <c r="A244" s="19" t="s">
        <v>249</v>
      </c>
      <c r="B244" s="38"/>
      <c r="C244" s="38" t="s">
        <v>56</v>
      </c>
      <c r="D244" s="38" t="s">
        <v>17</v>
      </c>
      <c r="E244" s="38" t="s">
        <v>253</v>
      </c>
      <c r="F244" s="38" t="s">
        <v>248</v>
      </c>
      <c r="G244" s="43">
        <f>1802+535.5+931.4+375.3+5500</f>
        <v>9144.2000000000007</v>
      </c>
      <c r="I244" s="43">
        <f>G244+H244</f>
        <v>9144.2000000000007</v>
      </c>
      <c r="K244" s="43">
        <f>I244+J244</f>
        <v>9144.2000000000007</v>
      </c>
      <c r="L244" s="56">
        <f>-3014.9-1250</f>
        <v>-4264.8999999999996</v>
      </c>
      <c r="M244" s="43">
        <f>K244+L244</f>
        <v>4879.3000000000011</v>
      </c>
      <c r="N244" s="56">
        <f>-792.02-300</f>
        <v>-1092.02</v>
      </c>
      <c r="O244" s="73">
        <f>M244+N244</f>
        <v>3787.2800000000011</v>
      </c>
      <c r="Q244" s="73">
        <f>O244+P244</f>
        <v>3787.2800000000011</v>
      </c>
    </row>
    <row r="245" spans="1:17" x14ac:dyDescent="0.25">
      <c r="A245" s="19" t="s">
        <v>81</v>
      </c>
      <c r="B245" s="38"/>
      <c r="C245" s="38" t="s">
        <v>56</v>
      </c>
      <c r="D245" s="38" t="s">
        <v>17</v>
      </c>
      <c r="E245" s="38" t="s">
        <v>255</v>
      </c>
      <c r="F245" s="38"/>
      <c r="G245" s="43">
        <f>G246</f>
        <v>24807</v>
      </c>
      <c r="I245" s="43">
        <f>I246</f>
        <v>24807</v>
      </c>
      <c r="K245" s="43">
        <f>K246</f>
        <v>24807</v>
      </c>
      <c r="L245" s="56"/>
      <c r="M245" s="43">
        <f>M246</f>
        <v>24941.3</v>
      </c>
      <c r="N245" s="56"/>
      <c r="O245" s="73">
        <f>O246</f>
        <v>24941.3</v>
      </c>
      <c r="Q245" s="73">
        <f>Q246</f>
        <v>24941.3</v>
      </c>
    </row>
    <row r="246" spans="1:17" x14ac:dyDescent="0.25">
      <c r="A246" s="19" t="s">
        <v>251</v>
      </c>
      <c r="B246" s="38"/>
      <c r="C246" s="38" t="s">
        <v>56</v>
      </c>
      <c r="D246" s="38" t="s">
        <v>17</v>
      </c>
      <c r="E246" s="38" t="s">
        <v>255</v>
      </c>
      <c r="F246" s="38" t="s">
        <v>250</v>
      </c>
      <c r="G246" s="43">
        <f>G247+G248</f>
        <v>24807</v>
      </c>
      <c r="I246" s="43">
        <f>I247+I248</f>
        <v>24807</v>
      </c>
      <c r="K246" s="43">
        <f>K247+K248</f>
        <v>24807</v>
      </c>
      <c r="L246" s="56"/>
      <c r="M246" s="43">
        <f>M247+M248</f>
        <v>24941.3</v>
      </c>
      <c r="N246" s="56"/>
      <c r="O246" s="73">
        <f>O247+O248</f>
        <v>24941.3</v>
      </c>
      <c r="Q246" s="73">
        <f>Q247+Q248</f>
        <v>24941.3</v>
      </c>
    </row>
    <row r="247" spans="1:17" ht="30.75" customHeight="1" x14ac:dyDescent="0.25">
      <c r="A247" s="19" t="s">
        <v>242</v>
      </c>
      <c r="B247" s="38"/>
      <c r="C247" s="38" t="s">
        <v>56</v>
      </c>
      <c r="D247" s="38" t="s">
        <v>17</v>
      </c>
      <c r="E247" s="38" t="s">
        <v>255</v>
      </c>
      <c r="F247" s="38" t="s">
        <v>243</v>
      </c>
      <c r="G247" s="43">
        <f>11511+5956.8+7339.2-265</f>
        <v>24542</v>
      </c>
      <c r="I247" s="43">
        <f>G247+H247</f>
        <v>24542</v>
      </c>
      <c r="K247" s="43">
        <f>I247+J247</f>
        <v>24542</v>
      </c>
      <c r="L247" s="56">
        <v>134.30000000000001</v>
      </c>
      <c r="M247" s="43">
        <f>K247+L247</f>
        <v>24676.3</v>
      </c>
      <c r="N247" s="56"/>
      <c r="O247" s="73">
        <f>M247+N247</f>
        <v>24676.3</v>
      </c>
      <c r="Q247" s="73">
        <f>O247+P247</f>
        <v>24676.3</v>
      </c>
    </row>
    <row r="248" spans="1:17" x14ac:dyDescent="0.25">
      <c r="A248" s="19" t="s">
        <v>245</v>
      </c>
      <c r="B248" s="38"/>
      <c r="C248" s="38" t="s">
        <v>56</v>
      </c>
      <c r="D248" s="38" t="s">
        <v>17</v>
      </c>
      <c r="E248" s="38" t="s">
        <v>255</v>
      </c>
      <c r="F248" s="38" t="s">
        <v>244</v>
      </c>
      <c r="G248" s="43">
        <v>265</v>
      </c>
      <c r="I248" s="43">
        <f>G248+H248</f>
        <v>265</v>
      </c>
      <c r="K248" s="43">
        <f>I248+J248</f>
        <v>265</v>
      </c>
      <c r="L248" s="56"/>
      <c r="M248" s="43">
        <f>K248+L248</f>
        <v>265</v>
      </c>
      <c r="N248" s="56"/>
      <c r="O248" s="73">
        <f>M248+N248</f>
        <v>265</v>
      </c>
      <c r="Q248" s="73">
        <f>O248+P248</f>
        <v>265</v>
      </c>
    </row>
    <row r="249" spans="1:17" ht="31.5" x14ac:dyDescent="0.25">
      <c r="A249" s="19" t="s">
        <v>629</v>
      </c>
      <c r="B249" s="38"/>
      <c r="C249" s="38" t="s">
        <v>56</v>
      </c>
      <c r="D249" s="38" t="s">
        <v>17</v>
      </c>
      <c r="E249" s="38" t="s">
        <v>491</v>
      </c>
      <c r="F249" s="38"/>
      <c r="G249" s="43"/>
      <c r="I249" s="43"/>
      <c r="K249" s="43"/>
      <c r="L249" s="56"/>
      <c r="M249" s="43">
        <f>M250+M251</f>
        <v>2288</v>
      </c>
      <c r="N249" s="56"/>
      <c r="O249" s="73">
        <f>O250+O251</f>
        <v>2288</v>
      </c>
      <c r="Q249" s="73">
        <f>Q250+Q251</f>
        <v>2288</v>
      </c>
    </row>
    <row r="250" spans="1:17" x14ac:dyDescent="0.25">
      <c r="A250" s="19" t="s">
        <v>245</v>
      </c>
      <c r="B250" s="38"/>
      <c r="C250" s="38" t="s">
        <v>56</v>
      </c>
      <c r="D250" s="38" t="s">
        <v>17</v>
      </c>
      <c r="E250" s="38" t="s">
        <v>491</v>
      </c>
      <c r="F250" s="38" t="s">
        <v>244</v>
      </c>
      <c r="G250" s="43"/>
      <c r="I250" s="43"/>
      <c r="K250" s="43"/>
      <c r="L250" s="56">
        <v>199.9</v>
      </c>
      <c r="M250" s="43">
        <f>K250+L250</f>
        <v>199.9</v>
      </c>
      <c r="N250" s="56"/>
      <c r="O250" s="73">
        <f>M250+N250</f>
        <v>199.9</v>
      </c>
      <c r="Q250" s="73">
        <f>O250+P250</f>
        <v>199.9</v>
      </c>
    </row>
    <row r="251" spans="1:17" x14ac:dyDescent="0.25">
      <c r="A251" s="19" t="s">
        <v>249</v>
      </c>
      <c r="B251" s="38"/>
      <c r="C251" s="38" t="s">
        <v>56</v>
      </c>
      <c r="D251" s="38" t="s">
        <v>17</v>
      </c>
      <c r="E251" s="38" t="s">
        <v>491</v>
      </c>
      <c r="F251" s="38" t="s">
        <v>248</v>
      </c>
      <c r="G251" s="43"/>
      <c r="I251" s="43"/>
      <c r="K251" s="43"/>
      <c r="L251" s="56">
        <v>2088.1</v>
      </c>
      <c r="M251" s="43">
        <f>K251+L251</f>
        <v>2088.1</v>
      </c>
      <c r="N251" s="56"/>
      <c r="O251" s="73">
        <f>M251+N251</f>
        <v>2088.1</v>
      </c>
      <c r="Q251" s="73">
        <f>O251+P251</f>
        <v>2088.1</v>
      </c>
    </row>
    <row r="252" spans="1:17" ht="14.25" customHeight="1" x14ac:dyDescent="0.25">
      <c r="A252" s="19" t="s">
        <v>121</v>
      </c>
      <c r="B252" s="38"/>
      <c r="C252" s="38" t="s">
        <v>56</v>
      </c>
      <c r="D252" s="38" t="s">
        <v>17</v>
      </c>
      <c r="E252" s="38" t="s">
        <v>576</v>
      </c>
      <c r="F252" s="38"/>
      <c r="G252" s="43"/>
      <c r="I252" s="43"/>
      <c r="K252" s="43"/>
      <c r="L252" s="56"/>
      <c r="M252" s="43"/>
      <c r="N252" s="56"/>
      <c r="O252" s="73">
        <f>O253+O254</f>
        <v>819</v>
      </c>
      <c r="Q252" s="73">
        <f>Q253+Q254</f>
        <v>819</v>
      </c>
    </row>
    <row r="253" spans="1:17" x14ac:dyDescent="0.25">
      <c r="A253" s="19" t="s">
        <v>245</v>
      </c>
      <c r="B253" s="38"/>
      <c r="C253" s="38" t="s">
        <v>56</v>
      </c>
      <c r="D253" s="38" t="s">
        <v>17</v>
      </c>
      <c r="E253" s="38" t="s">
        <v>576</v>
      </c>
      <c r="F253" s="38" t="s">
        <v>244</v>
      </c>
      <c r="G253" s="43"/>
      <c r="I253" s="43"/>
      <c r="K253" s="43"/>
      <c r="L253" s="56"/>
      <c r="M253" s="43"/>
      <c r="N253" s="56">
        <v>112.6</v>
      </c>
      <c r="O253" s="73">
        <f>M253+N253</f>
        <v>112.6</v>
      </c>
      <c r="Q253" s="73">
        <f>O253+P253</f>
        <v>112.6</v>
      </c>
    </row>
    <row r="254" spans="1:17" x14ac:dyDescent="0.25">
      <c r="A254" s="19" t="s">
        <v>249</v>
      </c>
      <c r="B254" s="38"/>
      <c r="C254" s="38" t="s">
        <v>56</v>
      </c>
      <c r="D254" s="38" t="s">
        <v>17</v>
      </c>
      <c r="E254" s="38" t="s">
        <v>576</v>
      </c>
      <c r="F254" s="38" t="s">
        <v>248</v>
      </c>
      <c r="G254" s="43"/>
      <c r="I254" s="43"/>
      <c r="K254" s="43"/>
      <c r="L254" s="56"/>
      <c r="M254" s="43"/>
      <c r="N254" s="56">
        <v>706.4</v>
      </c>
      <c r="O254" s="73">
        <f>M254+N254</f>
        <v>706.4</v>
      </c>
      <c r="Q254" s="73">
        <f>O254+P254</f>
        <v>706.4</v>
      </c>
    </row>
    <row r="255" spans="1:17" ht="45.75" customHeight="1" x14ac:dyDescent="0.25">
      <c r="A255" s="19" t="s">
        <v>387</v>
      </c>
      <c r="B255" s="38"/>
      <c r="C255" s="38" t="s">
        <v>56</v>
      </c>
      <c r="D255" s="38" t="s">
        <v>17</v>
      </c>
      <c r="E255" s="38" t="s">
        <v>386</v>
      </c>
      <c r="F255" s="38"/>
      <c r="G255" s="43">
        <f>G256+G259</f>
        <v>48007.4</v>
      </c>
      <c r="I255" s="43">
        <f>I256+I259</f>
        <v>48007.4</v>
      </c>
      <c r="K255" s="43">
        <f>K256+K259</f>
        <v>48007.4</v>
      </c>
      <c r="L255" s="56"/>
      <c r="M255" s="43">
        <f>M256+M259</f>
        <v>48007.4</v>
      </c>
      <c r="N255" s="56"/>
      <c r="O255" s="73">
        <f>O256+O259</f>
        <v>46904.000000000007</v>
      </c>
      <c r="Q255" s="73">
        <f>Q256+Q259</f>
        <v>46904.000000000007</v>
      </c>
    </row>
    <row r="256" spans="1:17" x14ac:dyDescent="0.25">
      <c r="A256" s="19" t="s">
        <v>251</v>
      </c>
      <c r="B256" s="38"/>
      <c r="C256" s="38" t="s">
        <v>56</v>
      </c>
      <c r="D256" s="38" t="s">
        <v>17</v>
      </c>
      <c r="E256" s="38" t="s">
        <v>386</v>
      </c>
      <c r="F256" s="38" t="s">
        <v>250</v>
      </c>
      <c r="G256" s="43">
        <f>G257+G258</f>
        <v>4201</v>
      </c>
      <c r="I256" s="43">
        <f>I257+I258</f>
        <v>4201</v>
      </c>
      <c r="K256" s="43">
        <f>K257+K258</f>
        <v>4201</v>
      </c>
      <c r="L256" s="56"/>
      <c r="M256" s="43">
        <f>M257+M258</f>
        <v>4201</v>
      </c>
      <c r="N256" s="56"/>
      <c r="O256" s="73">
        <f>O257+O258</f>
        <v>4108.3</v>
      </c>
      <c r="Q256" s="73">
        <f>Q257+Q258</f>
        <v>4108.3</v>
      </c>
    </row>
    <row r="257" spans="1:17" ht="30.75" customHeight="1" x14ac:dyDescent="0.25">
      <c r="A257" s="19" t="s">
        <v>242</v>
      </c>
      <c r="B257" s="38"/>
      <c r="C257" s="38" t="s">
        <v>56</v>
      </c>
      <c r="D257" s="38" t="s">
        <v>17</v>
      </c>
      <c r="E257" s="38" t="s">
        <v>386</v>
      </c>
      <c r="F257" s="38" t="s">
        <v>243</v>
      </c>
      <c r="G257" s="43">
        <f>4201</f>
        <v>4201</v>
      </c>
      <c r="I257" s="43">
        <f>G257+H257</f>
        <v>4201</v>
      </c>
      <c r="K257" s="43">
        <f>I257+J257</f>
        <v>4201</v>
      </c>
      <c r="L257" s="56"/>
      <c r="M257" s="43">
        <f>K257+L257</f>
        <v>4201</v>
      </c>
      <c r="N257" s="56">
        <v>-92.7</v>
      </c>
      <c r="O257" s="73">
        <f>M257+N257</f>
        <v>4108.3</v>
      </c>
      <c r="Q257" s="73">
        <f>O257+P257</f>
        <v>4108.3</v>
      </c>
    </row>
    <row r="258" spans="1:17" hidden="1" x14ac:dyDescent="0.25">
      <c r="A258" s="19" t="s">
        <v>245</v>
      </c>
      <c r="B258" s="38"/>
      <c r="C258" s="38" t="s">
        <v>56</v>
      </c>
      <c r="D258" s="38" t="s">
        <v>17</v>
      </c>
      <c r="E258" s="38" t="s">
        <v>386</v>
      </c>
      <c r="F258" s="38" t="s">
        <v>244</v>
      </c>
      <c r="G258" s="43"/>
      <c r="I258" s="43"/>
      <c r="K258" s="43"/>
      <c r="L258" s="56"/>
      <c r="M258" s="43"/>
      <c r="N258" s="56"/>
      <c r="O258" s="73"/>
      <c r="Q258" s="73"/>
    </row>
    <row r="259" spans="1:17" x14ac:dyDescent="0.25">
      <c r="A259" s="19" t="s">
        <v>252</v>
      </c>
      <c r="B259" s="38"/>
      <c r="C259" s="38" t="s">
        <v>56</v>
      </c>
      <c r="D259" s="38" t="s">
        <v>17</v>
      </c>
      <c r="E259" s="38" t="s">
        <v>386</v>
      </c>
      <c r="F259" s="38" t="s">
        <v>254</v>
      </c>
      <c r="G259" s="43">
        <f>G260+G261</f>
        <v>43806.400000000001</v>
      </c>
      <c r="I259" s="43">
        <f>I260+I261</f>
        <v>43806.400000000001</v>
      </c>
      <c r="K259" s="43">
        <f>K260+K261</f>
        <v>43806.400000000001</v>
      </c>
      <c r="L259" s="56"/>
      <c r="M259" s="43">
        <f>M260+M261</f>
        <v>43806.400000000001</v>
      </c>
      <c r="N259" s="56"/>
      <c r="O259" s="73">
        <f>O260+O261</f>
        <v>42795.700000000004</v>
      </c>
      <c r="Q259" s="73">
        <f>Q260+Q261</f>
        <v>42795.700000000004</v>
      </c>
    </row>
    <row r="260" spans="1:17" ht="32.25" customHeight="1" x14ac:dyDescent="0.25">
      <c r="A260" s="19" t="s">
        <v>246</v>
      </c>
      <c r="B260" s="38"/>
      <c r="C260" s="38" t="s">
        <v>56</v>
      </c>
      <c r="D260" s="38" t="s">
        <v>17</v>
      </c>
      <c r="E260" s="38" t="s">
        <v>386</v>
      </c>
      <c r="F260" s="38" t="s">
        <v>247</v>
      </c>
      <c r="G260" s="43">
        <f>12741+31065.4</f>
        <v>43806.400000000001</v>
      </c>
      <c r="I260" s="43">
        <f>G260+H260</f>
        <v>43806.400000000001</v>
      </c>
      <c r="K260" s="43">
        <f>I260+J260</f>
        <v>43806.400000000001</v>
      </c>
      <c r="L260" s="56"/>
      <c r="M260" s="43">
        <f>K260+L260</f>
        <v>43806.400000000001</v>
      </c>
      <c r="N260" s="56">
        <v>-1010.7</v>
      </c>
      <c r="O260" s="73">
        <f>M260+N260</f>
        <v>42795.700000000004</v>
      </c>
      <c r="Q260" s="73">
        <f>O260+P260</f>
        <v>42795.700000000004</v>
      </c>
    </row>
    <row r="261" spans="1:17" hidden="1" x14ac:dyDescent="0.25">
      <c r="A261" s="19" t="s">
        <v>249</v>
      </c>
      <c r="B261" s="38"/>
      <c r="C261" s="38" t="s">
        <v>56</v>
      </c>
      <c r="D261" s="38" t="s">
        <v>17</v>
      </c>
      <c r="E261" s="38" t="s">
        <v>386</v>
      </c>
      <c r="F261" s="38" t="s">
        <v>248</v>
      </c>
      <c r="G261" s="43"/>
      <c r="I261" s="43"/>
      <c r="K261" s="43"/>
      <c r="L261" s="56"/>
      <c r="M261" s="43"/>
      <c r="N261" s="56"/>
      <c r="O261" s="73"/>
      <c r="Q261" s="73"/>
    </row>
    <row r="262" spans="1:17" x14ac:dyDescent="0.25">
      <c r="A262" s="19" t="s">
        <v>493</v>
      </c>
      <c r="B262" s="38"/>
      <c r="C262" s="38" t="s">
        <v>56</v>
      </c>
      <c r="D262" s="38" t="s">
        <v>17</v>
      </c>
      <c r="E262" s="38" t="s">
        <v>492</v>
      </c>
      <c r="F262" s="38"/>
      <c r="G262" s="43"/>
      <c r="I262" s="43"/>
      <c r="K262" s="43"/>
      <c r="L262" s="56"/>
      <c r="M262" s="43">
        <f>M263</f>
        <v>640</v>
      </c>
      <c r="N262" s="56"/>
      <c r="O262" s="73">
        <f>O263</f>
        <v>640</v>
      </c>
      <c r="Q262" s="73">
        <f>Q263</f>
        <v>640</v>
      </c>
    </row>
    <row r="263" spans="1:17" x14ac:dyDescent="0.25">
      <c r="A263" s="19" t="s">
        <v>249</v>
      </c>
      <c r="B263" s="38"/>
      <c r="C263" s="38" t="s">
        <v>56</v>
      </c>
      <c r="D263" s="38" t="s">
        <v>17</v>
      </c>
      <c r="E263" s="38" t="s">
        <v>492</v>
      </c>
      <c r="F263" s="38" t="s">
        <v>248</v>
      </c>
      <c r="G263" s="43"/>
      <c r="I263" s="43"/>
      <c r="K263" s="43"/>
      <c r="L263" s="56">
        <v>640</v>
      </c>
      <c r="M263" s="43">
        <f>K263+L263</f>
        <v>640</v>
      </c>
      <c r="N263" s="56"/>
      <c r="O263" s="73">
        <f>M263+N263</f>
        <v>640</v>
      </c>
      <c r="Q263" s="73">
        <f>O263+P263</f>
        <v>640</v>
      </c>
    </row>
    <row r="264" spans="1:17" x14ac:dyDescent="0.25">
      <c r="A264" s="19" t="s">
        <v>397</v>
      </c>
      <c r="B264" s="38"/>
      <c r="C264" s="38" t="s">
        <v>56</v>
      </c>
      <c r="D264" s="38" t="s">
        <v>17</v>
      </c>
      <c r="E264" s="38" t="s">
        <v>398</v>
      </c>
      <c r="F264" s="38" t="s">
        <v>254</v>
      </c>
      <c r="G264" s="43">
        <f>G265+G266</f>
        <v>7524</v>
      </c>
      <c r="I264" s="43">
        <f>I265+I266</f>
        <v>7524</v>
      </c>
      <c r="K264" s="43">
        <f>K265+K266</f>
        <v>7524</v>
      </c>
      <c r="L264" s="56"/>
      <c r="M264" s="43">
        <f>M265+M266</f>
        <v>7524</v>
      </c>
      <c r="N264" s="56"/>
      <c r="O264" s="73">
        <f>O265+O266</f>
        <v>5737.7</v>
      </c>
      <c r="Q264" s="73">
        <f>Q265+Q266</f>
        <v>5737.7</v>
      </c>
    </row>
    <row r="265" spans="1:17" ht="30.75" customHeight="1" x14ac:dyDescent="0.25">
      <c r="A265" s="19" t="s">
        <v>246</v>
      </c>
      <c r="B265" s="38"/>
      <c r="C265" s="38" t="s">
        <v>56</v>
      </c>
      <c r="D265" s="38" t="s">
        <v>17</v>
      </c>
      <c r="E265" s="38" t="s">
        <v>398</v>
      </c>
      <c r="F265" s="38" t="s">
        <v>247</v>
      </c>
      <c r="G265" s="43">
        <v>2500</v>
      </c>
      <c r="I265" s="43">
        <f>G265+H265</f>
        <v>2500</v>
      </c>
      <c r="K265" s="43">
        <f>I265+J265</f>
        <v>2500</v>
      </c>
      <c r="L265" s="56"/>
      <c r="M265" s="43">
        <f>K265+L265</f>
        <v>2500</v>
      </c>
      <c r="N265" s="56"/>
      <c r="O265" s="73">
        <f>M265+N265</f>
        <v>2500</v>
      </c>
      <c r="Q265" s="73">
        <f>O265+P265</f>
        <v>2500</v>
      </c>
    </row>
    <row r="266" spans="1:17" ht="18" customHeight="1" x14ac:dyDescent="0.25">
      <c r="A266" s="19" t="s">
        <v>249</v>
      </c>
      <c r="B266" s="38"/>
      <c r="C266" s="38" t="s">
        <v>56</v>
      </c>
      <c r="D266" s="38" t="s">
        <v>17</v>
      </c>
      <c r="E266" s="38" t="s">
        <v>398</v>
      </c>
      <c r="F266" s="38" t="s">
        <v>248</v>
      </c>
      <c r="G266" s="43">
        <f>6524-1000-500</f>
        <v>5024</v>
      </c>
      <c r="I266" s="43">
        <f>G266+H266</f>
        <v>5024</v>
      </c>
      <c r="K266" s="43">
        <f>I266+J266</f>
        <v>5024</v>
      </c>
      <c r="L266" s="56">
        <f>-1250+1250</f>
        <v>0</v>
      </c>
      <c r="M266" s="43">
        <f>K266+L266</f>
        <v>5024</v>
      </c>
      <c r="N266" s="56">
        <f>-1786.3</f>
        <v>-1786.3</v>
      </c>
      <c r="O266" s="73">
        <f>M266+N266</f>
        <v>3237.7</v>
      </c>
      <c r="Q266" s="73">
        <f>O266+P266</f>
        <v>3237.7</v>
      </c>
    </row>
    <row r="267" spans="1:17" ht="17.25" customHeight="1" x14ac:dyDescent="0.25">
      <c r="A267" s="126" t="s">
        <v>598</v>
      </c>
      <c r="B267" s="38"/>
      <c r="C267" s="38" t="s">
        <v>56</v>
      </c>
      <c r="D267" s="38" t="s">
        <v>17</v>
      </c>
      <c r="E267" s="38" t="s">
        <v>286</v>
      </c>
      <c r="F267" s="38"/>
      <c r="G267" s="43"/>
      <c r="I267" s="43"/>
      <c r="K267" s="43"/>
      <c r="L267" s="56"/>
      <c r="M267" s="43"/>
      <c r="N267" s="56"/>
      <c r="O267" s="73">
        <f>O268+O269</f>
        <v>1129.4499999999998</v>
      </c>
      <c r="Q267" s="73">
        <f>Q268+Q269</f>
        <v>1129.4499999999998</v>
      </c>
    </row>
    <row r="268" spans="1:17" ht="15.75" customHeight="1" x14ac:dyDescent="0.25">
      <c r="A268" s="19" t="s">
        <v>245</v>
      </c>
      <c r="B268" s="38"/>
      <c r="C268" s="38" t="s">
        <v>56</v>
      </c>
      <c r="D268" s="38" t="s">
        <v>17</v>
      </c>
      <c r="E268" s="38" t="s">
        <v>286</v>
      </c>
      <c r="F268" s="38" t="s">
        <v>244</v>
      </c>
      <c r="G268" s="43"/>
      <c r="I268" s="43"/>
      <c r="K268" s="43"/>
      <c r="L268" s="56"/>
      <c r="M268" s="43"/>
      <c r="N268" s="56">
        <v>662.81</v>
      </c>
      <c r="O268" s="73">
        <f>M268+N268</f>
        <v>662.81</v>
      </c>
      <c r="Q268" s="73">
        <f>O268+P268</f>
        <v>662.81</v>
      </c>
    </row>
    <row r="269" spans="1:17" ht="15.75" customHeight="1" x14ac:dyDescent="0.25">
      <c r="A269" s="19" t="s">
        <v>249</v>
      </c>
      <c r="B269" s="38"/>
      <c r="C269" s="38" t="s">
        <v>56</v>
      </c>
      <c r="D269" s="38" t="s">
        <v>17</v>
      </c>
      <c r="E269" s="38" t="s">
        <v>286</v>
      </c>
      <c r="F269" s="38" t="s">
        <v>248</v>
      </c>
      <c r="G269" s="43"/>
      <c r="I269" s="43"/>
      <c r="K269" s="43"/>
      <c r="L269" s="56"/>
      <c r="M269" s="43"/>
      <c r="N269" s="56">
        <v>466.64</v>
      </c>
      <c r="O269" s="73">
        <f>M269+N269</f>
        <v>466.64</v>
      </c>
      <c r="Q269" s="73">
        <f>O269+P269</f>
        <v>466.64</v>
      </c>
    </row>
    <row r="270" spans="1:17" ht="14.25" customHeight="1" x14ac:dyDescent="0.25">
      <c r="A270" s="40" t="s">
        <v>76</v>
      </c>
      <c r="B270" s="35"/>
      <c r="C270" s="35" t="s">
        <v>56</v>
      </c>
      <c r="D270" s="35" t="s">
        <v>46</v>
      </c>
      <c r="E270" s="35"/>
      <c r="F270" s="35"/>
      <c r="G270" s="44">
        <f>G271</f>
        <v>45</v>
      </c>
      <c r="I270" s="44">
        <f>I271</f>
        <v>45</v>
      </c>
      <c r="K270" s="44">
        <f>K271</f>
        <v>45</v>
      </c>
      <c r="L270" s="56"/>
      <c r="M270" s="44">
        <f>M271</f>
        <v>45</v>
      </c>
      <c r="N270" s="56"/>
      <c r="O270" s="72">
        <f>O271</f>
        <v>45</v>
      </c>
      <c r="Q270" s="72">
        <f>Q271</f>
        <v>45</v>
      </c>
    </row>
    <row r="271" spans="1:17" ht="17.25" customHeight="1" x14ac:dyDescent="0.25">
      <c r="A271" s="19" t="s">
        <v>77</v>
      </c>
      <c r="B271" s="38"/>
      <c r="C271" s="38" t="s">
        <v>56</v>
      </c>
      <c r="D271" s="38" t="s">
        <v>46</v>
      </c>
      <c r="E271" s="38" t="s">
        <v>256</v>
      </c>
      <c r="F271" s="38"/>
      <c r="G271" s="43">
        <f>G273+G272</f>
        <v>45</v>
      </c>
      <c r="I271" s="43">
        <f>I273+I272</f>
        <v>45</v>
      </c>
      <c r="K271" s="43">
        <f>K273+K272</f>
        <v>45</v>
      </c>
      <c r="L271" s="56"/>
      <c r="M271" s="43">
        <f>M273+M272</f>
        <v>45</v>
      </c>
      <c r="N271" s="56"/>
      <c r="O271" s="73">
        <f>O273+O272</f>
        <v>45</v>
      </c>
      <c r="Q271" s="73">
        <f>Q273+Q272</f>
        <v>45</v>
      </c>
    </row>
    <row r="272" spans="1:17" ht="17.25" customHeight="1" x14ac:dyDescent="0.25">
      <c r="A272" s="19" t="s">
        <v>245</v>
      </c>
      <c r="B272" s="38"/>
      <c r="C272" s="38" t="s">
        <v>56</v>
      </c>
      <c r="D272" s="38" t="s">
        <v>46</v>
      </c>
      <c r="E272" s="38" t="s">
        <v>256</v>
      </c>
      <c r="F272" s="38" t="s">
        <v>244</v>
      </c>
      <c r="G272" s="43">
        <v>45</v>
      </c>
      <c r="I272" s="43">
        <f>G272+H272</f>
        <v>45</v>
      </c>
      <c r="K272" s="43">
        <f>I272+J272</f>
        <v>45</v>
      </c>
      <c r="L272" s="56"/>
      <c r="M272" s="43">
        <f>K272+L272</f>
        <v>45</v>
      </c>
      <c r="N272" s="56"/>
      <c r="O272" s="73">
        <f>M272+N272</f>
        <v>45</v>
      </c>
      <c r="Q272" s="73">
        <f>O272+P272</f>
        <v>45</v>
      </c>
    </row>
    <row r="273" spans="1:17" x14ac:dyDescent="0.25">
      <c r="A273" s="19" t="s">
        <v>249</v>
      </c>
      <c r="B273" s="38"/>
      <c r="C273" s="38" t="s">
        <v>56</v>
      </c>
      <c r="D273" s="38" t="s">
        <v>46</v>
      </c>
      <c r="E273" s="38" t="s">
        <v>256</v>
      </c>
      <c r="F273" s="38" t="s">
        <v>248</v>
      </c>
      <c r="G273" s="43"/>
      <c r="I273" s="43">
        <f>G273+H273</f>
        <v>0</v>
      </c>
      <c r="K273" s="43">
        <f>I273+J273</f>
        <v>0</v>
      </c>
      <c r="L273" s="56"/>
      <c r="M273" s="43">
        <f>K273+L273</f>
        <v>0</v>
      </c>
      <c r="N273" s="56"/>
      <c r="O273" s="73">
        <f>M273+N273</f>
        <v>0</v>
      </c>
      <c r="Q273" s="73">
        <f>O273+P273</f>
        <v>0</v>
      </c>
    </row>
    <row r="274" spans="1:17" x14ac:dyDescent="0.25">
      <c r="A274" s="40" t="s">
        <v>59</v>
      </c>
      <c r="B274" s="35"/>
      <c r="C274" s="35" t="s">
        <v>56</v>
      </c>
      <c r="D274" s="35" t="s">
        <v>56</v>
      </c>
      <c r="E274" s="35"/>
      <c r="F274" s="35"/>
      <c r="G274" s="44">
        <f>G275</f>
        <v>1000</v>
      </c>
      <c r="I274" s="44">
        <f>I275</f>
        <v>1000</v>
      </c>
      <c r="K274" s="44">
        <f>K275</f>
        <v>1000</v>
      </c>
      <c r="L274" s="56"/>
      <c r="M274" s="44">
        <f>M275+M279</f>
        <v>1567</v>
      </c>
      <c r="N274" s="56"/>
      <c r="O274" s="72">
        <f>O275+O279+O277</f>
        <v>1668.11</v>
      </c>
      <c r="Q274" s="72">
        <f>Q275+Q279+Q277</f>
        <v>1668.11</v>
      </c>
    </row>
    <row r="275" spans="1:17" x14ac:dyDescent="0.25">
      <c r="A275" s="19" t="s">
        <v>258</v>
      </c>
      <c r="B275" s="38"/>
      <c r="C275" s="38" t="s">
        <v>56</v>
      </c>
      <c r="D275" s="38" t="s">
        <v>56</v>
      </c>
      <c r="E275" s="38" t="s">
        <v>257</v>
      </c>
      <c r="F275" s="38"/>
      <c r="G275" s="43">
        <f>G276</f>
        <v>1000</v>
      </c>
      <c r="I275" s="43">
        <f>I276</f>
        <v>1000</v>
      </c>
      <c r="K275" s="43">
        <f>K276</f>
        <v>1000</v>
      </c>
      <c r="L275" s="56"/>
      <c r="M275" s="43">
        <f>M276</f>
        <v>1000</v>
      </c>
      <c r="N275" s="56"/>
      <c r="O275" s="73">
        <f>O276</f>
        <v>985</v>
      </c>
      <c r="Q275" s="73">
        <f>Q276</f>
        <v>985</v>
      </c>
    </row>
    <row r="276" spans="1:17" x14ac:dyDescent="0.25">
      <c r="A276" s="41" t="s">
        <v>224</v>
      </c>
      <c r="B276" s="38"/>
      <c r="C276" s="38" t="s">
        <v>56</v>
      </c>
      <c r="D276" s="38" t="s">
        <v>56</v>
      </c>
      <c r="E276" s="38" t="s">
        <v>257</v>
      </c>
      <c r="F276" s="38" t="s">
        <v>275</v>
      </c>
      <c r="G276" s="43">
        <v>1000</v>
      </c>
      <c r="I276" s="43">
        <f>G276+H276</f>
        <v>1000</v>
      </c>
      <c r="K276" s="43">
        <f>I276+J276</f>
        <v>1000</v>
      </c>
      <c r="L276" s="56"/>
      <c r="M276" s="43">
        <f>K276+L276</f>
        <v>1000</v>
      </c>
      <c r="N276" s="56">
        <v>-15</v>
      </c>
      <c r="O276" s="73">
        <f>M276+N276</f>
        <v>985</v>
      </c>
      <c r="Q276" s="73">
        <f>O276+P276</f>
        <v>985</v>
      </c>
    </row>
    <row r="277" spans="1:17" x14ac:dyDescent="0.25">
      <c r="A277" s="41" t="s">
        <v>577</v>
      </c>
      <c r="B277" s="38"/>
      <c r="C277" s="38" t="s">
        <v>56</v>
      </c>
      <c r="D277" s="38" t="s">
        <v>56</v>
      </c>
      <c r="E277" s="38" t="s">
        <v>457</v>
      </c>
      <c r="F277" s="38"/>
      <c r="G277" s="43"/>
      <c r="I277" s="43"/>
      <c r="K277" s="43"/>
      <c r="L277" s="56"/>
      <c r="M277" s="43"/>
      <c r="N277" s="56"/>
      <c r="O277" s="73">
        <f>O278</f>
        <v>92.3</v>
      </c>
      <c r="Q277" s="73">
        <f>Q278</f>
        <v>92.3</v>
      </c>
    </row>
    <row r="278" spans="1:17" x14ac:dyDescent="0.25">
      <c r="A278" s="19" t="s">
        <v>249</v>
      </c>
      <c r="B278" s="38"/>
      <c r="C278" s="38" t="s">
        <v>56</v>
      </c>
      <c r="D278" s="38" t="s">
        <v>56</v>
      </c>
      <c r="E278" s="38" t="s">
        <v>457</v>
      </c>
      <c r="F278" s="38" t="s">
        <v>248</v>
      </c>
      <c r="G278" s="43"/>
      <c r="I278" s="43"/>
      <c r="K278" s="43"/>
      <c r="L278" s="56"/>
      <c r="M278" s="43"/>
      <c r="N278" s="56">
        <v>92.3</v>
      </c>
      <c r="O278" s="73">
        <f>M278+N278</f>
        <v>92.3</v>
      </c>
      <c r="Q278" s="73">
        <f>O278+P278</f>
        <v>92.3</v>
      </c>
    </row>
    <row r="279" spans="1:17" x14ac:dyDescent="0.25">
      <c r="A279" s="41" t="s">
        <v>499</v>
      </c>
      <c r="B279" s="38"/>
      <c r="C279" s="38" t="s">
        <v>56</v>
      </c>
      <c r="D279" s="38" t="s">
        <v>56</v>
      </c>
      <c r="E279" s="38" t="s">
        <v>578</v>
      </c>
      <c r="F279" s="38"/>
      <c r="G279" s="43"/>
      <c r="I279" s="43"/>
      <c r="K279" s="43"/>
      <c r="L279" s="56"/>
      <c r="M279" s="43">
        <f>M280</f>
        <v>567</v>
      </c>
      <c r="N279" s="56"/>
      <c r="O279" s="73">
        <f>O280</f>
        <v>590.80999999999995</v>
      </c>
      <c r="Q279" s="73">
        <f>Q280</f>
        <v>590.80999999999995</v>
      </c>
    </row>
    <row r="280" spans="1:17" x14ac:dyDescent="0.25">
      <c r="A280" s="19" t="s">
        <v>249</v>
      </c>
      <c r="B280" s="38"/>
      <c r="C280" s="38" t="s">
        <v>56</v>
      </c>
      <c r="D280" s="38" t="s">
        <v>56</v>
      </c>
      <c r="E280" s="38" t="s">
        <v>578</v>
      </c>
      <c r="F280" s="38" t="s">
        <v>248</v>
      </c>
      <c r="G280" s="43"/>
      <c r="I280" s="43"/>
      <c r="K280" s="43"/>
      <c r="L280" s="56">
        <v>567</v>
      </c>
      <c r="M280" s="43">
        <f>L280+K280</f>
        <v>567</v>
      </c>
      <c r="N280" s="56">
        <v>23.81</v>
      </c>
      <c r="O280" s="73">
        <f>N280+M280</f>
        <v>590.80999999999995</v>
      </c>
      <c r="Q280" s="73">
        <f>P280+O280</f>
        <v>590.80999999999995</v>
      </c>
    </row>
    <row r="281" spans="1:17" x14ac:dyDescent="0.25">
      <c r="A281" s="10" t="s">
        <v>62</v>
      </c>
      <c r="B281" s="38"/>
      <c r="C281" s="38" t="s">
        <v>56</v>
      </c>
      <c r="D281" s="38" t="s">
        <v>63</v>
      </c>
      <c r="E281" s="38"/>
      <c r="F281" s="38"/>
      <c r="G281" s="43">
        <f>G284</f>
        <v>1982.8</v>
      </c>
      <c r="I281" s="43">
        <f>I284</f>
        <v>1982.8</v>
      </c>
      <c r="K281" s="43">
        <f>K284</f>
        <v>1982.8</v>
      </c>
      <c r="L281" s="56"/>
      <c r="M281" s="43">
        <f>M284</f>
        <v>1982.8</v>
      </c>
      <c r="N281" s="56"/>
      <c r="O281" s="73">
        <f>O284+O282</f>
        <v>2104.8000000000002</v>
      </c>
      <c r="Q281" s="73">
        <f>Q284+Q282</f>
        <v>2104.8000000000002</v>
      </c>
    </row>
    <row r="282" spans="1:17" x14ac:dyDescent="0.25">
      <c r="A282" s="127" t="s">
        <v>121</v>
      </c>
      <c r="B282" s="38"/>
      <c r="C282" s="38" t="s">
        <v>56</v>
      </c>
      <c r="D282" s="38" t="s">
        <v>63</v>
      </c>
      <c r="E282" s="38" t="s">
        <v>576</v>
      </c>
      <c r="F282" s="38"/>
      <c r="G282" s="43"/>
      <c r="I282" s="43"/>
      <c r="K282" s="43"/>
      <c r="L282" s="56"/>
      <c r="M282" s="43"/>
      <c r="N282" s="56"/>
      <c r="O282" s="73">
        <f>O283</f>
        <v>122</v>
      </c>
      <c r="Q282" s="73">
        <f>Q283</f>
        <v>122</v>
      </c>
    </row>
    <row r="283" spans="1:17" x14ac:dyDescent="0.25">
      <c r="A283" s="24" t="s">
        <v>249</v>
      </c>
      <c r="B283" s="38"/>
      <c r="C283" s="38" t="s">
        <v>56</v>
      </c>
      <c r="D283" s="38" t="s">
        <v>63</v>
      </c>
      <c r="E283" s="38" t="s">
        <v>576</v>
      </c>
      <c r="F283" s="38" t="s">
        <v>248</v>
      </c>
      <c r="G283" s="43"/>
      <c r="I283" s="43"/>
      <c r="K283" s="43"/>
      <c r="L283" s="56"/>
      <c r="M283" s="43"/>
      <c r="N283" s="56">
        <v>122</v>
      </c>
      <c r="O283" s="73">
        <f>M283+N283</f>
        <v>122</v>
      </c>
      <c r="Q283" s="73">
        <f>O283+P283</f>
        <v>122</v>
      </c>
    </row>
    <row r="284" spans="1:17" ht="46.5" customHeight="1" x14ac:dyDescent="0.25">
      <c r="A284" s="19" t="s">
        <v>387</v>
      </c>
      <c r="B284" s="38"/>
      <c r="C284" s="38" t="s">
        <v>56</v>
      </c>
      <c r="D284" s="38" t="s">
        <v>63</v>
      </c>
      <c r="E284" s="38" t="s">
        <v>386</v>
      </c>
      <c r="F284" s="38"/>
      <c r="G284" s="43">
        <f>G285</f>
        <v>1982.8</v>
      </c>
      <c r="I284" s="43">
        <f>I285</f>
        <v>1982.8</v>
      </c>
      <c r="K284" s="43">
        <f>K285</f>
        <v>1982.8</v>
      </c>
      <c r="L284" s="56"/>
      <c r="M284" s="43">
        <f>M285</f>
        <v>1982.8</v>
      </c>
      <c r="N284" s="56"/>
      <c r="O284" s="73">
        <f>O285</f>
        <v>1982.8</v>
      </c>
      <c r="Q284" s="73">
        <f>Q285</f>
        <v>1982.8</v>
      </c>
    </row>
    <row r="285" spans="1:17" ht="33" customHeight="1" x14ac:dyDescent="0.25">
      <c r="A285" s="19" t="s">
        <v>246</v>
      </c>
      <c r="B285" s="38"/>
      <c r="C285" s="38" t="s">
        <v>56</v>
      </c>
      <c r="D285" s="38" t="s">
        <v>63</v>
      </c>
      <c r="E285" s="38" t="s">
        <v>386</v>
      </c>
      <c r="F285" s="38" t="s">
        <v>247</v>
      </c>
      <c r="G285" s="43">
        <f>1982.8</f>
        <v>1982.8</v>
      </c>
      <c r="I285" s="43">
        <f>G285+H285</f>
        <v>1982.8</v>
      </c>
      <c r="K285" s="43">
        <f>I285+J285</f>
        <v>1982.8</v>
      </c>
      <c r="L285" s="56"/>
      <c r="M285" s="43">
        <f>K285+L285</f>
        <v>1982.8</v>
      </c>
      <c r="N285" s="56"/>
      <c r="O285" s="73">
        <f>M285+N285</f>
        <v>1982.8</v>
      </c>
      <c r="Q285" s="73">
        <f>O285+P285</f>
        <v>1982.8</v>
      </c>
    </row>
    <row r="286" spans="1:17" hidden="1" x14ac:dyDescent="0.25">
      <c r="A286" s="40" t="s">
        <v>193</v>
      </c>
      <c r="B286" s="35"/>
      <c r="C286" s="35" t="s">
        <v>63</v>
      </c>
      <c r="D286" s="35"/>
      <c r="E286" s="35"/>
      <c r="F286" s="35"/>
      <c r="G286" s="44">
        <f>G287</f>
        <v>0</v>
      </c>
      <c r="I286" s="44">
        <f>I287</f>
        <v>0</v>
      </c>
      <c r="K286" s="44">
        <f>K287</f>
        <v>0</v>
      </c>
      <c r="L286" s="56"/>
      <c r="M286" s="44">
        <f>M287</f>
        <v>0</v>
      </c>
      <c r="N286" s="56"/>
      <c r="O286" s="72">
        <f>O287</f>
        <v>0</v>
      </c>
      <c r="Q286" s="72">
        <f>Q287</f>
        <v>0</v>
      </c>
    </row>
    <row r="287" spans="1:17" hidden="1" x14ac:dyDescent="0.25">
      <c r="A287" s="19" t="s">
        <v>198</v>
      </c>
      <c r="B287" s="38"/>
      <c r="C287" s="38" t="s">
        <v>63</v>
      </c>
      <c r="D287" s="38" t="s">
        <v>63</v>
      </c>
      <c r="E287" s="38"/>
      <c r="F287" s="38"/>
      <c r="G287" s="43">
        <f>G288+G290</f>
        <v>0</v>
      </c>
      <c r="I287" s="43">
        <f>I288+I290</f>
        <v>0</v>
      </c>
      <c r="K287" s="43">
        <f>K288+K290</f>
        <v>0</v>
      </c>
      <c r="L287" s="56"/>
      <c r="M287" s="43">
        <f>M288+M290</f>
        <v>0</v>
      </c>
      <c r="N287" s="56"/>
      <c r="O287" s="73">
        <f>O288+O290</f>
        <v>0</v>
      </c>
      <c r="Q287" s="73">
        <f>Q288+Q290</f>
        <v>0</v>
      </c>
    </row>
    <row r="288" spans="1:17" ht="28.5" hidden="1" customHeight="1" x14ac:dyDescent="0.25">
      <c r="A288" s="19" t="s">
        <v>310</v>
      </c>
      <c r="B288" s="38"/>
      <c r="C288" s="38" t="s">
        <v>63</v>
      </c>
      <c r="D288" s="38" t="s">
        <v>63</v>
      </c>
      <c r="E288" s="38" t="s">
        <v>279</v>
      </c>
      <c r="F288" s="38"/>
      <c r="G288" s="43">
        <f>G289</f>
        <v>0</v>
      </c>
      <c r="I288" s="43">
        <f>I289</f>
        <v>0</v>
      </c>
      <c r="K288" s="43">
        <f>K289</f>
        <v>0</v>
      </c>
      <c r="L288" s="56"/>
      <c r="M288" s="43">
        <f>M289</f>
        <v>0</v>
      </c>
      <c r="N288" s="56"/>
      <c r="O288" s="73">
        <f>O289</f>
        <v>0</v>
      </c>
      <c r="Q288" s="73">
        <f>Q289</f>
        <v>0</v>
      </c>
    </row>
    <row r="289" spans="1:17" hidden="1" x14ac:dyDescent="0.25">
      <c r="A289" s="19" t="s">
        <v>245</v>
      </c>
      <c r="B289" s="38"/>
      <c r="C289" s="38" t="s">
        <v>63</v>
      </c>
      <c r="D289" s="38" t="s">
        <v>63</v>
      </c>
      <c r="E289" s="38" t="s">
        <v>279</v>
      </c>
      <c r="F289" s="38" t="s">
        <v>244</v>
      </c>
      <c r="G289" s="43"/>
      <c r="I289" s="43">
        <f>G289+H289</f>
        <v>0</v>
      </c>
      <c r="K289" s="43">
        <f>I289+J289</f>
        <v>0</v>
      </c>
      <c r="L289" s="56"/>
      <c r="M289" s="43">
        <f>K289+L289</f>
        <v>0</v>
      </c>
      <c r="N289" s="56"/>
      <c r="O289" s="73">
        <f>M289+N289</f>
        <v>0</v>
      </c>
      <c r="Q289" s="73">
        <f>O289+P289</f>
        <v>0</v>
      </c>
    </row>
    <row r="290" spans="1:17" ht="13.5" hidden="1" customHeight="1" x14ac:dyDescent="0.25">
      <c r="A290" s="19" t="s">
        <v>311</v>
      </c>
      <c r="B290" s="38"/>
      <c r="C290" s="38" t="s">
        <v>63</v>
      </c>
      <c r="D290" s="38" t="s">
        <v>63</v>
      </c>
      <c r="E290" s="38" t="s">
        <v>312</v>
      </c>
      <c r="F290" s="38"/>
      <c r="G290" s="43">
        <f>G291</f>
        <v>0</v>
      </c>
      <c r="I290" s="43">
        <f>I291</f>
        <v>0</v>
      </c>
      <c r="K290" s="43">
        <f>K291</f>
        <v>0</v>
      </c>
      <c r="L290" s="56"/>
      <c r="M290" s="43">
        <f>M291</f>
        <v>0</v>
      </c>
      <c r="N290" s="56"/>
      <c r="O290" s="73">
        <f>O291</f>
        <v>0</v>
      </c>
      <c r="Q290" s="73">
        <f>Q291</f>
        <v>0</v>
      </c>
    </row>
    <row r="291" spans="1:17" hidden="1" x14ac:dyDescent="0.25">
      <c r="A291" s="19" t="s">
        <v>245</v>
      </c>
      <c r="B291" s="38"/>
      <c r="C291" s="38" t="s">
        <v>63</v>
      </c>
      <c r="D291" s="38" t="s">
        <v>63</v>
      </c>
      <c r="E291" s="38" t="s">
        <v>312</v>
      </c>
      <c r="F291" s="38" t="s">
        <v>244</v>
      </c>
      <c r="G291" s="43"/>
      <c r="I291" s="43">
        <f>G291+H291</f>
        <v>0</v>
      </c>
      <c r="K291" s="43">
        <f>I291+J291</f>
        <v>0</v>
      </c>
      <c r="L291" s="56"/>
      <c r="M291" s="43">
        <f>K291+L291</f>
        <v>0</v>
      </c>
      <c r="N291" s="56"/>
      <c r="O291" s="73">
        <f>M291+N291</f>
        <v>0</v>
      </c>
      <c r="Q291" s="73">
        <f>O291+P291</f>
        <v>0</v>
      </c>
    </row>
    <row r="292" spans="1:17" x14ac:dyDescent="0.25">
      <c r="A292" s="34" t="s">
        <v>67</v>
      </c>
      <c r="B292" s="35"/>
      <c r="C292" s="35" t="s">
        <v>68</v>
      </c>
      <c r="D292" s="35"/>
      <c r="E292" s="35"/>
      <c r="F292" s="35"/>
      <c r="G292" s="43">
        <f>G293+G296</f>
        <v>5946.7999999999993</v>
      </c>
      <c r="I292" s="43">
        <f>I293+I296</f>
        <v>5946.7999999999993</v>
      </c>
      <c r="K292" s="43">
        <f>K293+K296</f>
        <v>5946.7999999999993</v>
      </c>
      <c r="L292" s="56"/>
      <c r="M292" s="43">
        <f>M293+M296</f>
        <v>4237.8999999999996</v>
      </c>
      <c r="N292" s="56"/>
      <c r="O292" s="73">
        <f>O293+O296</f>
        <v>4237.8999999999996</v>
      </c>
      <c r="Q292" s="73">
        <f>Q293+Q296</f>
        <v>4237.8999999999996</v>
      </c>
    </row>
    <row r="293" spans="1:17" x14ac:dyDescent="0.25">
      <c r="A293" s="34" t="s">
        <v>90</v>
      </c>
      <c r="B293" s="35"/>
      <c r="C293" s="35" t="s">
        <v>68</v>
      </c>
      <c r="D293" s="35" t="s">
        <v>17</v>
      </c>
      <c r="E293" s="35"/>
      <c r="F293" s="35"/>
      <c r="G293" s="44">
        <f>G294</f>
        <v>4237.8999999999996</v>
      </c>
      <c r="I293" s="44">
        <f>I294</f>
        <v>4237.8999999999996</v>
      </c>
      <c r="K293" s="44">
        <f>K294</f>
        <v>4237.8999999999996</v>
      </c>
      <c r="L293" s="56"/>
      <c r="M293" s="44">
        <f>M294</f>
        <v>4237.8999999999996</v>
      </c>
      <c r="N293" s="56"/>
      <c r="O293" s="72">
        <f>O294</f>
        <v>4237.8999999999996</v>
      </c>
      <c r="Q293" s="72">
        <f>Q294</f>
        <v>4237.8999999999996</v>
      </c>
    </row>
    <row r="294" spans="1:17" ht="30.75" customHeight="1" x14ac:dyDescent="0.25">
      <c r="A294" s="47" t="s">
        <v>381</v>
      </c>
      <c r="B294" s="35"/>
      <c r="C294" s="38" t="s">
        <v>68</v>
      </c>
      <c r="D294" s="38" t="s">
        <v>17</v>
      </c>
      <c r="E294" s="38" t="s">
        <v>328</v>
      </c>
      <c r="F294" s="38"/>
      <c r="G294" s="43">
        <f>G295</f>
        <v>4237.8999999999996</v>
      </c>
      <c r="I294" s="43">
        <f>I295</f>
        <v>4237.8999999999996</v>
      </c>
      <c r="K294" s="43">
        <f>K295</f>
        <v>4237.8999999999996</v>
      </c>
      <c r="L294" s="56"/>
      <c r="M294" s="43">
        <f>M295</f>
        <v>4237.8999999999996</v>
      </c>
      <c r="N294" s="56"/>
      <c r="O294" s="73">
        <f>O295</f>
        <v>4237.8999999999996</v>
      </c>
      <c r="Q294" s="73">
        <f>Q295</f>
        <v>4237.8999999999996</v>
      </c>
    </row>
    <row r="295" spans="1:17" ht="30.75" customHeight="1" x14ac:dyDescent="0.25">
      <c r="A295" s="19" t="s">
        <v>242</v>
      </c>
      <c r="B295" s="35"/>
      <c r="C295" s="38" t="s">
        <v>68</v>
      </c>
      <c r="D295" s="38" t="s">
        <v>17</v>
      </c>
      <c r="E295" s="38" t="s">
        <v>532</v>
      </c>
      <c r="F295" s="38" t="s">
        <v>243</v>
      </c>
      <c r="G295" s="43">
        <v>4237.8999999999996</v>
      </c>
      <c r="I295" s="43">
        <f>G295+H295</f>
        <v>4237.8999999999996</v>
      </c>
      <c r="K295" s="43">
        <f>I295+J295</f>
        <v>4237.8999999999996</v>
      </c>
      <c r="L295" s="56"/>
      <c r="M295" s="43">
        <f>K295+L295</f>
        <v>4237.8999999999996</v>
      </c>
      <c r="N295" s="56"/>
      <c r="O295" s="73">
        <f>M295+N295</f>
        <v>4237.8999999999996</v>
      </c>
      <c r="Q295" s="73">
        <f>O295+P295</f>
        <v>4237.8999999999996</v>
      </c>
    </row>
    <row r="296" spans="1:17" ht="18" customHeight="1" x14ac:dyDescent="0.25">
      <c r="A296" s="34" t="s">
        <v>74</v>
      </c>
      <c r="B296" s="35"/>
      <c r="C296" s="35" t="s">
        <v>68</v>
      </c>
      <c r="D296" s="35" t="s">
        <v>24</v>
      </c>
      <c r="E296" s="35"/>
      <c r="F296" s="35"/>
      <c r="G296" s="44">
        <f>G297</f>
        <v>1708.9</v>
      </c>
      <c r="I296" s="44">
        <f>I297</f>
        <v>1708.9</v>
      </c>
      <c r="K296" s="44">
        <f>K297</f>
        <v>1708.9</v>
      </c>
      <c r="L296" s="56"/>
      <c r="M296" s="44">
        <f>M297</f>
        <v>0</v>
      </c>
      <c r="N296" s="56"/>
      <c r="O296" s="72">
        <f>O297</f>
        <v>0</v>
      </c>
      <c r="Q296" s="72">
        <f>Q297</f>
        <v>0</v>
      </c>
    </row>
    <row r="297" spans="1:17" ht="30.75" customHeight="1" x14ac:dyDescent="0.25">
      <c r="A297" s="47" t="s">
        <v>382</v>
      </c>
      <c r="B297" s="35"/>
      <c r="C297" s="38" t="s">
        <v>68</v>
      </c>
      <c r="D297" s="38" t="s">
        <v>24</v>
      </c>
      <c r="E297" s="38" t="s">
        <v>290</v>
      </c>
      <c r="F297" s="38"/>
      <c r="G297" s="43">
        <f>G298</f>
        <v>1708.9</v>
      </c>
      <c r="I297" s="43">
        <f>I298</f>
        <v>1708.9</v>
      </c>
      <c r="K297" s="43">
        <f>K298</f>
        <v>1708.9</v>
      </c>
      <c r="L297" s="56"/>
      <c r="M297" s="43">
        <f>M298</f>
        <v>0</v>
      </c>
      <c r="N297" s="56"/>
      <c r="O297" s="73">
        <f>O298</f>
        <v>0</v>
      </c>
      <c r="Q297" s="73">
        <f>Q298</f>
        <v>0</v>
      </c>
    </row>
    <row r="298" spans="1:17" ht="18.75" customHeight="1" x14ac:dyDescent="0.25">
      <c r="A298" s="19" t="s">
        <v>249</v>
      </c>
      <c r="B298" s="38"/>
      <c r="C298" s="38" t="s">
        <v>68</v>
      </c>
      <c r="D298" s="38" t="s">
        <v>24</v>
      </c>
      <c r="E298" s="38" t="s">
        <v>290</v>
      </c>
      <c r="F298" s="38" t="s">
        <v>248</v>
      </c>
      <c r="G298" s="43">
        <v>1708.9</v>
      </c>
      <c r="H298" s="58"/>
      <c r="I298" s="43">
        <f>G298+H298</f>
        <v>1708.9</v>
      </c>
      <c r="J298" s="58"/>
      <c r="K298" s="43">
        <f>I298+J298</f>
        <v>1708.9</v>
      </c>
      <c r="L298" s="56">
        <v>-1708.9</v>
      </c>
      <c r="M298" s="43">
        <f>K298+L298</f>
        <v>0</v>
      </c>
      <c r="N298" s="56"/>
      <c r="O298" s="73">
        <f>M298+N298</f>
        <v>0</v>
      </c>
      <c r="Q298" s="73">
        <f>O298+P298</f>
        <v>0</v>
      </c>
    </row>
    <row r="299" spans="1:17" x14ac:dyDescent="0.25">
      <c r="A299" s="34" t="s">
        <v>231</v>
      </c>
      <c r="B299" s="35"/>
      <c r="C299" s="35" t="s">
        <v>107</v>
      </c>
      <c r="D299" s="35"/>
      <c r="E299" s="35"/>
      <c r="F299" s="35"/>
      <c r="G299" s="44">
        <f>G300</f>
        <v>3500</v>
      </c>
      <c r="I299" s="44">
        <f>I300</f>
        <v>3500</v>
      </c>
      <c r="K299" s="44">
        <f>K300</f>
        <v>3500</v>
      </c>
      <c r="L299" s="56"/>
      <c r="M299" s="44">
        <f>M300</f>
        <v>3500</v>
      </c>
      <c r="N299" s="56"/>
      <c r="O299" s="72">
        <f>O300</f>
        <v>3500</v>
      </c>
      <c r="Q299" s="72">
        <f>Q300</f>
        <v>3500</v>
      </c>
    </row>
    <row r="300" spans="1:17" x14ac:dyDescent="0.25">
      <c r="A300" s="34" t="s">
        <v>197</v>
      </c>
      <c r="B300" s="35"/>
      <c r="C300" s="35" t="s">
        <v>107</v>
      </c>
      <c r="D300" s="35" t="s">
        <v>15</v>
      </c>
      <c r="E300" s="35"/>
      <c r="F300" s="35"/>
      <c r="G300" s="44">
        <f>G301</f>
        <v>3500</v>
      </c>
      <c r="I300" s="44">
        <f>I301</f>
        <v>3500</v>
      </c>
      <c r="K300" s="44">
        <f>K301</f>
        <v>3500</v>
      </c>
      <c r="L300" s="56"/>
      <c r="M300" s="44">
        <f>M301</f>
        <v>3500</v>
      </c>
      <c r="N300" s="56"/>
      <c r="O300" s="72">
        <f>O301</f>
        <v>3500</v>
      </c>
      <c r="Q300" s="72">
        <f>Q301</f>
        <v>3500</v>
      </c>
    </row>
    <row r="301" spans="1:17" x14ac:dyDescent="0.25">
      <c r="A301" s="39" t="s">
        <v>52</v>
      </c>
      <c r="B301" s="38"/>
      <c r="C301" s="38" t="s">
        <v>107</v>
      </c>
      <c r="D301" s="38" t="s">
        <v>15</v>
      </c>
      <c r="E301" s="38" t="s">
        <v>261</v>
      </c>
      <c r="F301" s="38"/>
      <c r="G301" s="43">
        <f>G302</f>
        <v>3500</v>
      </c>
      <c r="I301" s="43">
        <f>I302</f>
        <v>3500</v>
      </c>
      <c r="K301" s="43">
        <f>K302</f>
        <v>3500</v>
      </c>
      <c r="L301" s="56"/>
      <c r="M301" s="43">
        <f>M302</f>
        <v>3500</v>
      </c>
      <c r="N301" s="56"/>
      <c r="O301" s="73">
        <f>O302</f>
        <v>3500</v>
      </c>
      <c r="Q301" s="73">
        <f>Q302</f>
        <v>3500</v>
      </c>
    </row>
    <row r="302" spans="1:17" x14ac:dyDescent="0.25">
      <c r="A302" s="41" t="s">
        <v>252</v>
      </c>
      <c r="B302" s="38"/>
      <c r="C302" s="38" t="s">
        <v>107</v>
      </c>
      <c r="D302" s="38" t="s">
        <v>15</v>
      </c>
      <c r="E302" s="38" t="s">
        <v>261</v>
      </c>
      <c r="F302" s="38" t="s">
        <v>254</v>
      </c>
      <c r="G302" s="43">
        <f>G303+G304</f>
        <v>3500</v>
      </c>
      <c r="I302" s="43">
        <f>G302+H302</f>
        <v>3500</v>
      </c>
      <c r="K302" s="43">
        <f>I302+J302</f>
        <v>3500</v>
      </c>
      <c r="L302" s="56"/>
      <c r="M302" s="43">
        <f>K302+L302</f>
        <v>3500</v>
      </c>
      <c r="N302" s="56"/>
      <c r="O302" s="73">
        <f>M302+N302</f>
        <v>3500</v>
      </c>
      <c r="Q302" s="73">
        <f>O302+P302</f>
        <v>3500</v>
      </c>
    </row>
    <row r="303" spans="1:17" ht="30" customHeight="1" x14ac:dyDescent="0.25">
      <c r="A303" s="19" t="s">
        <v>246</v>
      </c>
      <c r="B303" s="38"/>
      <c r="C303" s="38" t="s">
        <v>107</v>
      </c>
      <c r="D303" s="38" t="s">
        <v>15</v>
      </c>
      <c r="E303" s="38" t="s">
        <v>261</v>
      </c>
      <c r="F303" s="38" t="s">
        <v>247</v>
      </c>
      <c r="G303" s="43">
        <v>3500</v>
      </c>
      <c r="I303" s="43">
        <f>G303+H303</f>
        <v>3500</v>
      </c>
      <c r="J303" s="56">
        <v>-401.9</v>
      </c>
      <c r="K303" s="43">
        <f>I303+J303</f>
        <v>3098.1</v>
      </c>
      <c r="L303" s="56"/>
      <c r="M303" s="43">
        <f>K303+L303</f>
        <v>3098.1</v>
      </c>
      <c r="N303" s="56"/>
      <c r="O303" s="73">
        <f>M303+N303</f>
        <v>3098.1</v>
      </c>
      <c r="Q303" s="73">
        <f>O303+P303</f>
        <v>3098.1</v>
      </c>
    </row>
    <row r="304" spans="1:17" x14ac:dyDescent="0.25">
      <c r="A304" s="19" t="s">
        <v>249</v>
      </c>
      <c r="B304" s="38"/>
      <c r="C304" s="38" t="s">
        <v>107</v>
      </c>
      <c r="D304" s="38" t="s">
        <v>15</v>
      </c>
      <c r="E304" s="38" t="s">
        <v>261</v>
      </c>
      <c r="F304" s="38" t="s">
        <v>248</v>
      </c>
      <c r="G304" s="43"/>
      <c r="I304" s="43">
        <f>G304+H304</f>
        <v>0</v>
      </c>
      <c r="J304" s="56">
        <v>401.9</v>
      </c>
      <c r="K304" s="43">
        <f>I304+J304</f>
        <v>401.9</v>
      </c>
      <c r="L304" s="56"/>
      <c r="M304" s="43">
        <f>K304+L304</f>
        <v>401.9</v>
      </c>
      <c r="N304" s="56"/>
      <c r="O304" s="73">
        <f>M304+N304</f>
        <v>401.9</v>
      </c>
      <c r="Q304" s="73">
        <f>O304+P304</f>
        <v>401.9</v>
      </c>
    </row>
    <row r="305" spans="1:17" x14ac:dyDescent="0.25">
      <c r="A305" s="34" t="s">
        <v>191</v>
      </c>
      <c r="B305" s="35"/>
      <c r="C305" s="35" t="s">
        <v>27</v>
      </c>
      <c r="D305" s="35"/>
      <c r="E305" s="35"/>
      <c r="F305" s="35"/>
      <c r="G305" s="44">
        <f>G306</f>
        <v>1460</v>
      </c>
      <c r="I305" s="44">
        <f>I306</f>
        <v>1460</v>
      </c>
      <c r="K305" s="44">
        <f>K306</f>
        <v>1460</v>
      </c>
      <c r="L305" s="56"/>
      <c r="M305" s="44">
        <f>M306</f>
        <v>1460</v>
      </c>
      <c r="N305" s="56"/>
      <c r="O305" s="72">
        <f>O306</f>
        <v>1617.5</v>
      </c>
      <c r="Q305" s="72">
        <f>Q306</f>
        <v>1617.5</v>
      </c>
    </row>
    <row r="306" spans="1:17" x14ac:dyDescent="0.25">
      <c r="A306" s="34" t="s">
        <v>152</v>
      </c>
      <c r="B306" s="35"/>
      <c r="C306" s="35" t="s">
        <v>27</v>
      </c>
      <c r="D306" s="35" t="s">
        <v>17</v>
      </c>
      <c r="E306" s="35"/>
      <c r="F306" s="35"/>
      <c r="G306" s="44">
        <f>G307</f>
        <v>1460</v>
      </c>
      <c r="I306" s="44">
        <f>I307</f>
        <v>1460</v>
      </c>
      <c r="K306" s="44">
        <f>K307</f>
        <v>1460</v>
      </c>
      <c r="L306" s="56"/>
      <c r="M306" s="44">
        <f>M307</f>
        <v>1460</v>
      </c>
      <c r="N306" s="56"/>
      <c r="O306" s="72">
        <f>O307</f>
        <v>1617.5</v>
      </c>
      <c r="Q306" s="72">
        <f>Q307</f>
        <v>1617.5</v>
      </c>
    </row>
    <row r="307" spans="1:17" x14ac:dyDescent="0.25">
      <c r="A307" s="42" t="s">
        <v>262</v>
      </c>
      <c r="B307" s="38"/>
      <c r="C307" s="38" t="s">
        <v>27</v>
      </c>
      <c r="D307" s="38" t="s">
        <v>17</v>
      </c>
      <c r="E307" s="38" t="s">
        <v>388</v>
      </c>
      <c r="F307" s="38"/>
      <c r="G307" s="43">
        <f>G308</f>
        <v>1460</v>
      </c>
      <c r="I307" s="43">
        <f>I308</f>
        <v>1460</v>
      </c>
      <c r="K307" s="43">
        <f>K308</f>
        <v>1460</v>
      </c>
      <c r="L307" s="56"/>
      <c r="M307" s="43">
        <f>M308</f>
        <v>1460</v>
      </c>
      <c r="N307" s="56"/>
      <c r="O307" s="73">
        <f>O308+O309</f>
        <v>1617.5</v>
      </c>
      <c r="Q307" s="73">
        <f>Q308+Q309</f>
        <v>1617.5</v>
      </c>
    </row>
    <row r="308" spans="1:17" ht="29.25" customHeight="1" x14ac:dyDescent="0.25">
      <c r="A308" s="19" t="s">
        <v>272</v>
      </c>
      <c r="B308" s="38"/>
      <c r="C308" s="38" t="s">
        <v>27</v>
      </c>
      <c r="D308" s="38" t="s">
        <v>17</v>
      </c>
      <c r="E308" s="38" t="s">
        <v>388</v>
      </c>
      <c r="F308" s="38" t="s">
        <v>271</v>
      </c>
      <c r="G308" s="43">
        <v>1460</v>
      </c>
      <c r="I308" s="43">
        <f>G308+H308</f>
        <v>1460</v>
      </c>
      <c r="K308" s="43">
        <f>I308+J308</f>
        <v>1460</v>
      </c>
      <c r="L308" s="56"/>
      <c r="M308" s="43">
        <f>K308+L308</f>
        <v>1460</v>
      </c>
      <c r="N308" s="56"/>
      <c r="O308" s="73">
        <f>M308+N308</f>
        <v>1460</v>
      </c>
      <c r="Q308" s="73">
        <f>O308+P308</f>
        <v>1460</v>
      </c>
    </row>
    <row r="309" spans="1:17" ht="32.25" customHeight="1" x14ac:dyDescent="0.25">
      <c r="A309" s="19" t="s">
        <v>630</v>
      </c>
      <c r="B309" s="38"/>
      <c r="C309" s="38" t="s">
        <v>27</v>
      </c>
      <c r="D309" s="38" t="s">
        <v>17</v>
      </c>
      <c r="E309" s="38" t="s">
        <v>579</v>
      </c>
      <c r="F309" s="38" t="s">
        <v>271</v>
      </c>
      <c r="G309" s="43"/>
      <c r="I309" s="43"/>
      <c r="K309" s="43"/>
      <c r="L309" s="56"/>
      <c r="M309" s="43"/>
      <c r="N309" s="56">
        <v>157.5</v>
      </c>
      <c r="O309" s="73">
        <f>M309+N309</f>
        <v>157.5</v>
      </c>
      <c r="Q309" s="73">
        <f>O309+P309</f>
        <v>157.5</v>
      </c>
    </row>
    <row r="310" spans="1:17" ht="15.75" customHeight="1" x14ac:dyDescent="0.25">
      <c r="A310" s="48" t="s">
        <v>186</v>
      </c>
      <c r="B310" s="35"/>
      <c r="C310" s="35" t="s">
        <v>185</v>
      </c>
      <c r="D310" s="35"/>
      <c r="E310" s="35"/>
      <c r="F310" s="35"/>
      <c r="G310" s="44">
        <f>G311</f>
        <v>819.8</v>
      </c>
      <c r="I310" s="44">
        <f>I311</f>
        <v>819.8</v>
      </c>
      <c r="K310" s="44">
        <f>K311</f>
        <v>819.8</v>
      </c>
      <c r="L310" s="56"/>
      <c r="M310" s="44">
        <f>M311</f>
        <v>819.8</v>
      </c>
      <c r="N310" s="56"/>
      <c r="O310" s="72">
        <f>O311</f>
        <v>819.8</v>
      </c>
      <c r="Q310" s="72">
        <f>Q311</f>
        <v>1013.8</v>
      </c>
    </row>
    <row r="311" spans="1:17" ht="14.25" customHeight="1" x14ac:dyDescent="0.25">
      <c r="A311" s="40" t="s">
        <v>264</v>
      </c>
      <c r="B311" s="35"/>
      <c r="C311" s="35" t="s">
        <v>185</v>
      </c>
      <c r="D311" s="35" t="s">
        <v>15</v>
      </c>
      <c r="E311" s="35"/>
      <c r="F311" s="35"/>
      <c r="G311" s="44">
        <f>G312</f>
        <v>819.8</v>
      </c>
      <c r="I311" s="44">
        <f>I312</f>
        <v>819.8</v>
      </c>
      <c r="K311" s="44">
        <f>K312</f>
        <v>819.8</v>
      </c>
      <c r="L311" s="56"/>
      <c r="M311" s="44">
        <f>M312</f>
        <v>819.8</v>
      </c>
      <c r="N311" s="56"/>
      <c r="O311" s="72">
        <f>O312</f>
        <v>819.8</v>
      </c>
      <c r="Q311" s="72">
        <f>Q312</f>
        <v>1013.8</v>
      </c>
    </row>
    <row r="312" spans="1:17" x14ac:dyDescent="0.25">
      <c r="A312" s="39" t="s">
        <v>109</v>
      </c>
      <c r="B312" s="38"/>
      <c r="C312" s="38" t="s">
        <v>185</v>
      </c>
      <c r="D312" s="38" t="s">
        <v>15</v>
      </c>
      <c r="E312" s="38" t="s">
        <v>263</v>
      </c>
      <c r="F312" s="38"/>
      <c r="G312" s="43">
        <f>G313</f>
        <v>819.8</v>
      </c>
      <c r="I312" s="43">
        <f>I313</f>
        <v>819.8</v>
      </c>
      <c r="K312" s="43">
        <f>K313</f>
        <v>819.8</v>
      </c>
      <c r="L312" s="56"/>
      <c r="M312" s="43">
        <f>M313</f>
        <v>819.8</v>
      </c>
      <c r="N312" s="56"/>
      <c r="O312" s="73">
        <f>O313</f>
        <v>819.8</v>
      </c>
      <c r="Q312" s="73">
        <f>Q313</f>
        <v>1013.8</v>
      </c>
    </row>
    <row r="313" spans="1:17" x14ac:dyDescent="0.25">
      <c r="A313" s="39" t="s">
        <v>265</v>
      </c>
      <c r="B313" s="38"/>
      <c r="C313" s="38" t="s">
        <v>185</v>
      </c>
      <c r="D313" s="38" t="s">
        <v>15</v>
      </c>
      <c r="E313" s="38" t="s">
        <v>263</v>
      </c>
      <c r="F313" s="38" t="s">
        <v>266</v>
      </c>
      <c r="G313" s="43">
        <v>819.8</v>
      </c>
      <c r="I313" s="43">
        <f>G313+H313</f>
        <v>819.8</v>
      </c>
      <c r="K313" s="43">
        <f>I313+J313</f>
        <v>819.8</v>
      </c>
      <c r="L313" s="56"/>
      <c r="M313" s="43">
        <f>K313+L313</f>
        <v>819.8</v>
      </c>
      <c r="N313" s="56"/>
      <c r="O313" s="73">
        <f>M313+N313</f>
        <v>819.8</v>
      </c>
      <c r="Q313" s="73">
        <f>O313+P313+194</f>
        <v>1013.8</v>
      </c>
    </row>
    <row r="314" spans="1:17" ht="31.5" customHeight="1" x14ac:dyDescent="0.25">
      <c r="A314" s="45" t="s">
        <v>188</v>
      </c>
      <c r="B314" s="35"/>
      <c r="C314" s="35" t="s">
        <v>30</v>
      </c>
      <c r="D314" s="35"/>
      <c r="E314" s="35"/>
      <c r="F314" s="35"/>
      <c r="G314" s="44">
        <f>G315</f>
        <v>8235</v>
      </c>
      <c r="I314" s="44">
        <f>I315</f>
        <v>8235</v>
      </c>
      <c r="K314" s="44">
        <f>K315</f>
        <v>8235</v>
      </c>
      <c r="L314" s="56"/>
      <c r="M314" s="44">
        <f>M315+M321</f>
        <v>9485</v>
      </c>
      <c r="N314" s="56"/>
      <c r="O314" s="72">
        <f>O315+O321</f>
        <v>9785</v>
      </c>
      <c r="Q314" s="72">
        <f>Q315+Q321+Q318</f>
        <v>16785</v>
      </c>
    </row>
    <row r="315" spans="1:17" ht="30" customHeight="1" x14ac:dyDescent="0.25">
      <c r="A315" s="40" t="s">
        <v>189</v>
      </c>
      <c r="B315" s="35"/>
      <c r="C315" s="35" t="s">
        <v>30</v>
      </c>
      <c r="D315" s="35" t="s">
        <v>15</v>
      </c>
      <c r="E315" s="35"/>
      <c r="F315" s="35"/>
      <c r="G315" s="44">
        <f>G316+G322</f>
        <v>8235</v>
      </c>
      <c r="I315" s="44">
        <f>I316+I322</f>
        <v>8235</v>
      </c>
      <c r="K315" s="44">
        <f>K316+K322</f>
        <v>8235</v>
      </c>
      <c r="L315" s="56"/>
      <c r="M315" s="44">
        <f>M316</f>
        <v>8235</v>
      </c>
      <c r="N315" s="56"/>
      <c r="O315" s="72">
        <f>O316</f>
        <v>8235</v>
      </c>
      <c r="Q315" s="72">
        <f>Q316</f>
        <v>8235</v>
      </c>
    </row>
    <row r="316" spans="1:17" ht="17.25" customHeight="1" x14ac:dyDescent="0.25">
      <c r="A316" s="19" t="s">
        <v>268</v>
      </c>
      <c r="B316" s="38"/>
      <c r="C316" s="38" t="s">
        <v>30</v>
      </c>
      <c r="D316" s="38" t="s">
        <v>15</v>
      </c>
      <c r="E316" s="38" t="s">
        <v>267</v>
      </c>
      <c r="F316" s="38"/>
      <c r="G316" s="43">
        <f>G317</f>
        <v>8235</v>
      </c>
      <c r="I316" s="43">
        <f>I317</f>
        <v>8235</v>
      </c>
      <c r="K316" s="43">
        <f>K317</f>
        <v>8235</v>
      </c>
      <c r="L316" s="56"/>
      <c r="M316" s="43">
        <f>M317</f>
        <v>8235</v>
      </c>
      <c r="N316" s="56"/>
      <c r="O316" s="73">
        <f>O317</f>
        <v>8235</v>
      </c>
      <c r="Q316" s="73">
        <f>Q317</f>
        <v>8235</v>
      </c>
    </row>
    <row r="317" spans="1:17" x14ac:dyDescent="0.25">
      <c r="A317" s="39" t="s">
        <v>270</v>
      </c>
      <c r="B317" s="38"/>
      <c r="C317" s="38" t="s">
        <v>30</v>
      </c>
      <c r="D317" s="38" t="s">
        <v>15</v>
      </c>
      <c r="E317" s="38" t="s">
        <v>267</v>
      </c>
      <c r="F317" s="38" t="s">
        <v>269</v>
      </c>
      <c r="G317" s="43">
        <v>8235</v>
      </c>
      <c r="I317" s="43">
        <f>G317+H317</f>
        <v>8235</v>
      </c>
      <c r="K317" s="43">
        <f>I317+J317</f>
        <v>8235</v>
      </c>
      <c r="L317" s="56"/>
      <c r="M317" s="43">
        <f>K317+L317</f>
        <v>8235</v>
      </c>
      <c r="N317" s="56"/>
      <c r="O317" s="73">
        <f>M317+N317</f>
        <v>8235</v>
      </c>
      <c r="Q317" s="73">
        <f>O317+P317</f>
        <v>8235</v>
      </c>
    </row>
    <row r="318" spans="1:17" hidden="1" x14ac:dyDescent="0.25">
      <c r="A318" s="78" t="s">
        <v>190</v>
      </c>
      <c r="B318" s="79"/>
      <c r="C318" s="79" t="s">
        <v>30</v>
      </c>
      <c r="D318" s="79" t="s">
        <v>17</v>
      </c>
      <c r="E318" s="79"/>
      <c r="F318" s="79"/>
      <c r="G318" s="72"/>
      <c r="H318" s="80"/>
      <c r="I318" s="72"/>
      <c r="J318" s="80"/>
      <c r="K318" s="72"/>
      <c r="L318" s="80"/>
      <c r="M318" s="72"/>
      <c r="N318" s="80"/>
      <c r="O318" s="72"/>
      <c r="P318" s="81"/>
      <c r="Q318" s="72">
        <f>Q319</f>
        <v>0</v>
      </c>
    </row>
    <row r="319" spans="1:17" hidden="1" x14ac:dyDescent="0.25">
      <c r="A319" s="82" t="s">
        <v>616</v>
      </c>
      <c r="B319" s="83"/>
      <c r="C319" s="83" t="s">
        <v>30</v>
      </c>
      <c r="D319" s="83" t="s">
        <v>17</v>
      </c>
      <c r="E319" s="83" t="s">
        <v>613</v>
      </c>
      <c r="F319" s="83"/>
      <c r="G319" s="73"/>
      <c r="H319" s="84"/>
      <c r="I319" s="73"/>
      <c r="J319" s="84"/>
      <c r="K319" s="73"/>
      <c r="L319" s="84"/>
      <c r="M319" s="73"/>
      <c r="N319" s="84"/>
      <c r="O319" s="73"/>
      <c r="P319" s="70"/>
      <c r="Q319" s="73">
        <f>Q320</f>
        <v>0</v>
      </c>
    </row>
    <row r="320" spans="1:17" ht="31.5" hidden="1" x14ac:dyDescent="0.25">
      <c r="A320" s="85" t="s">
        <v>615</v>
      </c>
      <c r="B320" s="83"/>
      <c r="C320" s="83" t="s">
        <v>30</v>
      </c>
      <c r="D320" s="83" t="s">
        <v>17</v>
      </c>
      <c r="E320" s="83" t="s">
        <v>613</v>
      </c>
      <c r="F320" s="83" t="s">
        <v>614</v>
      </c>
      <c r="G320" s="73"/>
      <c r="H320" s="84"/>
      <c r="I320" s="73"/>
      <c r="J320" s="84"/>
      <c r="K320" s="73"/>
      <c r="L320" s="84"/>
      <c r="M320" s="73"/>
      <c r="N320" s="84"/>
      <c r="O320" s="73"/>
      <c r="P320" s="70"/>
      <c r="Q320" s="73">
        <v>0</v>
      </c>
    </row>
    <row r="321" spans="1:17" x14ac:dyDescent="0.25">
      <c r="A321" s="39" t="s">
        <v>498</v>
      </c>
      <c r="B321" s="38"/>
      <c r="C321" s="38" t="s">
        <v>30</v>
      </c>
      <c r="D321" s="38" t="s">
        <v>20</v>
      </c>
      <c r="E321" s="38"/>
      <c r="F321" s="38"/>
      <c r="G321" s="43"/>
      <c r="I321" s="43"/>
      <c r="K321" s="43"/>
      <c r="L321" s="56"/>
      <c r="M321" s="43">
        <f>M322</f>
        <v>1250</v>
      </c>
      <c r="N321" s="56"/>
      <c r="O321" s="73">
        <f>O322+O323</f>
        <v>1550</v>
      </c>
      <c r="Q321" s="73">
        <f>Q322+Q323+Q324+Q325</f>
        <v>8550</v>
      </c>
    </row>
    <row r="322" spans="1:17" ht="31.5" customHeight="1" x14ac:dyDescent="0.25">
      <c r="A322" s="19" t="s">
        <v>538</v>
      </c>
      <c r="B322" s="38"/>
      <c r="C322" s="38" t="s">
        <v>30</v>
      </c>
      <c r="D322" s="38" t="s">
        <v>20</v>
      </c>
      <c r="E322" s="38" t="s">
        <v>496</v>
      </c>
      <c r="F322" s="38" t="s">
        <v>497</v>
      </c>
      <c r="G322" s="43"/>
      <c r="I322" s="43">
        <f>G322+H322</f>
        <v>0</v>
      </c>
      <c r="K322" s="43">
        <f>I322+J322</f>
        <v>0</v>
      </c>
      <c r="L322" s="56">
        <v>1250</v>
      </c>
      <c r="M322" s="43">
        <f>K322+L322</f>
        <v>1250</v>
      </c>
      <c r="N322" s="56"/>
      <c r="O322" s="73">
        <f>M322+N322</f>
        <v>1250</v>
      </c>
      <c r="Q322" s="73">
        <f>O322+P322</f>
        <v>1250</v>
      </c>
    </row>
    <row r="323" spans="1:17" ht="31.5" x14ac:dyDescent="0.25">
      <c r="A323" s="19" t="s">
        <v>605</v>
      </c>
      <c r="B323" s="38"/>
      <c r="C323" s="38" t="s">
        <v>30</v>
      </c>
      <c r="D323" s="38" t="s">
        <v>20</v>
      </c>
      <c r="E323" s="38" t="s">
        <v>496</v>
      </c>
      <c r="F323" s="38" t="s">
        <v>497</v>
      </c>
      <c r="G323" s="43"/>
      <c r="I323" s="43"/>
      <c r="K323" s="43"/>
      <c r="L323" s="56"/>
      <c r="M323" s="43"/>
      <c r="N323" s="56">
        <v>300</v>
      </c>
      <c r="O323" s="73">
        <f>M323+N323</f>
        <v>300</v>
      </c>
      <c r="Q323" s="73">
        <f>O323+P323</f>
        <v>300</v>
      </c>
    </row>
    <row r="324" spans="1:17" ht="31.5" x14ac:dyDescent="0.25">
      <c r="A324" s="1" t="s">
        <v>618</v>
      </c>
      <c r="B324" s="83"/>
      <c r="C324" s="83" t="s">
        <v>30</v>
      </c>
      <c r="D324" s="83" t="s">
        <v>20</v>
      </c>
      <c r="E324" s="83" t="s">
        <v>496</v>
      </c>
      <c r="F324" s="83" t="s">
        <v>497</v>
      </c>
      <c r="G324" s="73"/>
      <c r="H324" s="84"/>
      <c r="I324" s="73"/>
      <c r="J324" s="84"/>
      <c r="K324" s="73"/>
      <c r="L324" s="84"/>
      <c r="M324" s="73"/>
      <c r="N324" s="84"/>
      <c r="O324" s="73"/>
      <c r="P324" s="70"/>
      <c r="Q324" s="73">
        <v>4000</v>
      </c>
    </row>
    <row r="325" spans="1:17" ht="31.5" x14ac:dyDescent="0.25">
      <c r="A325" s="1" t="s">
        <v>619</v>
      </c>
      <c r="B325" s="83"/>
      <c r="C325" s="83" t="s">
        <v>30</v>
      </c>
      <c r="D325" s="83" t="s">
        <v>20</v>
      </c>
      <c r="E325" s="83" t="s">
        <v>496</v>
      </c>
      <c r="F325" s="83" t="s">
        <v>497</v>
      </c>
      <c r="G325" s="73"/>
      <c r="H325" s="84"/>
      <c r="I325" s="73"/>
      <c r="J325" s="84"/>
      <c r="K325" s="73"/>
      <c r="L325" s="84"/>
      <c r="M325" s="73"/>
      <c r="N325" s="84"/>
      <c r="O325" s="73"/>
      <c r="P325" s="70"/>
      <c r="Q325" s="73">
        <v>3000</v>
      </c>
    </row>
    <row r="326" spans="1:17" ht="19.5" customHeight="1" x14ac:dyDescent="0.25">
      <c r="A326" s="120" t="s">
        <v>631</v>
      </c>
      <c r="B326" s="35" t="s">
        <v>101</v>
      </c>
      <c r="C326" s="35"/>
      <c r="D326" s="35"/>
      <c r="E326" s="35"/>
      <c r="F326" s="35"/>
      <c r="G326" s="44">
        <f>G331+G339+G327</f>
        <v>11430.400000000001</v>
      </c>
      <c r="I326" s="44">
        <f>I331+I339+I327</f>
        <v>11464</v>
      </c>
      <c r="K326" s="44">
        <f>K331+K339+K327</f>
        <v>11464</v>
      </c>
      <c r="L326" s="56"/>
      <c r="M326" s="63">
        <f>M331+M339+M327</f>
        <v>12303.17</v>
      </c>
      <c r="N326" s="56"/>
      <c r="O326" s="72">
        <f>O331+O339+O327</f>
        <v>11083</v>
      </c>
      <c r="Q326" s="72">
        <f>Q331+Q339+Q327</f>
        <v>11083</v>
      </c>
    </row>
    <row r="327" spans="1:17" x14ac:dyDescent="0.25">
      <c r="A327" s="37" t="s">
        <v>42</v>
      </c>
      <c r="B327" s="35"/>
      <c r="C327" s="35" t="s">
        <v>24</v>
      </c>
      <c r="D327" s="35"/>
      <c r="E327" s="35"/>
      <c r="F327" s="35"/>
      <c r="G327" s="44">
        <f>G328</f>
        <v>0</v>
      </c>
      <c r="I327" s="44">
        <f>I328</f>
        <v>0</v>
      </c>
      <c r="K327" s="44">
        <f>K328</f>
        <v>0</v>
      </c>
      <c r="L327" s="56"/>
      <c r="M327" s="44">
        <f>M328</f>
        <v>23.5</v>
      </c>
      <c r="N327" s="56"/>
      <c r="O327" s="72">
        <f>O328</f>
        <v>23.5</v>
      </c>
      <c r="Q327" s="72">
        <f>Q328</f>
        <v>23.5</v>
      </c>
    </row>
    <row r="328" spans="1:17" x14ac:dyDescent="0.25">
      <c r="A328" s="10" t="s">
        <v>166</v>
      </c>
      <c r="B328" s="35"/>
      <c r="C328" s="35" t="s">
        <v>24</v>
      </c>
      <c r="D328" s="35" t="s">
        <v>27</v>
      </c>
      <c r="E328" s="35"/>
      <c r="F328" s="35"/>
      <c r="G328" s="44">
        <f>G329</f>
        <v>0</v>
      </c>
      <c r="I328" s="44">
        <f>I329</f>
        <v>0</v>
      </c>
      <c r="K328" s="44">
        <f>K329</f>
        <v>0</v>
      </c>
      <c r="L328" s="56"/>
      <c r="M328" s="44">
        <f>M329</f>
        <v>23.5</v>
      </c>
      <c r="N328" s="56"/>
      <c r="O328" s="72">
        <f>O329</f>
        <v>23.5</v>
      </c>
      <c r="Q328" s="72">
        <f>Q329</f>
        <v>23.5</v>
      </c>
    </row>
    <row r="329" spans="1:17" ht="31.5" x14ac:dyDescent="0.25">
      <c r="A329" s="1" t="s">
        <v>355</v>
      </c>
      <c r="B329" s="38"/>
      <c r="C329" s="38" t="s">
        <v>24</v>
      </c>
      <c r="D329" s="38" t="s">
        <v>27</v>
      </c>
      <c r="E329" s="38" t="s">
        <v>309</v>
      </c>
      <c r="F329" s="38"/>
      <c r="G329" s="43">
        <f>G330</f>
        <v>0</v>
      </c>
      <c r="I329" s="43">
        <f>I330</f>
        <v>0</v>
      </c>
      <c r="K329" s="43">
        <f>K330</f>
        <v>0</v>
      </c>
      <c r="L329" s="56"/>
      <c r="M329" s="43">
        <f>M330</f>
        <v>23.5</v>
      </c>
      <c r="N329" s="56"/>
      <c r="O329" s="73">
        <f>O330</f>
        <v>23.5</v>
      </c>
      <c r="Q329" s="73">
        <f>Q330</f>
        <v>23.5</v>
      </c>
    </row>
    <row r="330" spans="1:17" x14ac:dyDescent="0.25">
      <c r="A330" s="41" t="s">
        <v>224</v>
      </c>
      <c r="B330" s="38"/>
      <c r="C330" s="38" t="s">
        <v>24</v>
      </c>
      <c r="D330" s="38" t="s">
        <v>27</v>
      </c>
      <c r="E330" s="38" t="s">
        <v>309</v>
      </c>
      <c r="F330" s="38" t="s">
        <v>210</v>
      </c>
      <c r="G330" s="43"/>
      <c r="I330" s="43">
        <f>G330+H330</f>
        <v>0</v>
      </c>
      <c r="K330" s="43">
        <f>I330+J330</f>
        <v>0</v>
      </c>
      <c r="L330" s="56">
        <v>23.5</v>
      </c>
      <c r="M330" s="43">
        <f>K330+L330</f>
        <v>23.5</v>
      </c>
      <c r="N330" s="56"/>
      <c r="O330" s="73">
        <f>M330+N330</f>
        <v>23.5</v>
      </c>
      <c r="Q330" s="73">
        <f>O330+P330</f>
        <v>23.5</v>
      </c>
    </row>
    <row r="331" spans="1:17" x14ac:dyDescent="0.25">
      <c r="A331" s="29" t="s">
        <v>55</v>
      </c>
      <c r="B331" s="35"/>
      <c r="C331" s="35" t="s">
        <v>56</v>
      </c>
      <c r="D331" s="35"/>
      <c r="E331" s="35"/>
      <c r="F331" s="35"/>
      <c r="G331" s="44">
        <f>G332</f>
        <v>0</v>
      </c>
      <c r="I331" s="44">
        <f>I332</f>
        <v>0</v>
      </c>
      <c r="K331" s="44">
        <f>K332</f>
        <v>0</v>
      </c>
      <c r="L331" s="56"/>
      <c r="M331" s="44">
        <f>M332</f>
        <v>538</v>
      </c>
      <c r="N331" s="56"/>
      <c r="O331" s="72">
        <f>O332</f>
        <v>436.89</v>
      </c>
      <c r="Q331" s="72">
        <f>Q332</f>
        <v>436.89</v>
      </c>
    </row>
    <row r="332" spans="1:17" x14ac:dyDescent="0.25">
      <c r="A332" s="10" t="s">
        <v>59</v>
      </c>
      <c r="B332" s="35"/>
      <c r="C332" s="35" t="s">
        <v>56</v>
      </c>
      <c r="D332" s="35" t="s">
        <v>56</v>
      </c>
      <c r="E332" s="35"/>
      <c r="F332" s="35"/>
      <c r="G332" s="44">
        <f>G335</f>
        <v>0</v>
      </c>
      <c r="I332" s="44">
        <f>I335</f>
        <v>0</v>
      </c>
      <c r="K332" s="44">
        <f>K335</f>
        <v>0</v>
      </c>
      <c r="L332" s="56"/>
      <c r="M332" s="44">
        <f>M335+M337</f>
        <v>538</v>
      </c>
      <c r="N332" s="56"/>
      <c r="O332" s="72">
        <f>O335+O337+O333</f>
        <v>436.89</v>
      </c>
      <c r="Q332" s="72">
        <f>Q335+Q337+Q333</f>
        <v>436.89</v>
      </c>
    </row>
    <row r="333" spans="1:17" x14ac:dyDescent="0.25">
      <c r="A333" s="24" t="s">
        <v>632</v>
      </c>
      <c r="B333" s="38"/>
      <c r="C333" s="38" t="s">
        <v>56</v>
      </c>
      <c r="D333" s="38" t="s">
        <v>56</v>
      </c>
      <c r="E333" s="38" t="s">
        <v>257</v>
      </c>
      <c r="F333" s="38"/>
      <c r="G333" s="43"/>
      <c r="I333" s="43"/>
      <c r="K333" s="43"/>
      <c r="L333" s="56"/>
      <c r="M333" s="43"/>
      <c r="N333" s="56"/>
      <c r="O333" s="73">
        <f>O334</f>
        <v>15</v>
      </c>
      <c r="Q333" s="73">
        <f>Q334</f>
        <v>15</v>
      </c>
    </row>
    <row r="334" spans="1:17" x14ac:dyDescent="0.25">
      <c r="A334" s="24" t="s">
        <v>580</v>
      </c>
      <c r="B334" s="38"/>
      <c r="C334" s="38" t="s">
        <v>56</v>
      </c>
      <c r="D334" s="38" t="s">
        <v>56</v>
      </c>
      <c r="E334" s="38" t="s">
        <v>257</v>
      </c>
      <c r="F334" s="38" t="s">
        <v>275</v>
      </c>
      <c r="G334" s="43"/>
      <c r="I334" s="43"/>
      <c r="K334" s="43"/>
      <c r="L334" s="56"/>
      <c r="M334" s="43"/>
      <c r="N334" s="56">
        <v>15</v>
      </c>
      <c r="O334" s="73">
        <f>M334+N334</f>
        <v>15</v>
      </c>
      <c r="Q334" s="73">
        <f>O334+P334</f>
        <v>15</v>
      </c>
    </row>
    <row r="335" spans="1:17" ht="33" customHeight="1" x14ac:dyDescent="0.25">
      <c r="A335" s="42" t="s">
        <v>459</v>
      </c>
      <c r="B335" s="38"/>
      <c r="C335" s="38" t="s">
        <v>56</v>
      </c>
      <c r="D335" s="38" t="s">
        <v>56</v>
      </c>
      <c r="E335" s="38" t="s">
        <v>457</v>
      </c>
      <c r="F335" s="38"/>
      <c r="G335" s="43">
        <f>G336</f>
        <v>0</v>
      </c>
      <c r="I335" s="43">
        <f>I336</f>
        <v>0</v>
      </c>
      <c r="K335" s="43">
        <f>K336</f>
        <v>0</v>
      </c>
      <c r="L335" s="56"/>
      <c r="M335" s="43">
        <f>M336</f>
        <v>401</v>
      </c>
      <c r="N335" s="56"/>
      <c r="O335" s="73">
        <f>O336</f>
        <v>308.7</v>
      </c>
      <c r="Q335" s="73">
        <f>Q336</f>
        <v>308.7</v>
      </c>
    </row>
    <row r="336" spans="1:17" x14ac:dyDescent="0.25">
      <c r="A336" s="39" t="s">
        <v>274</v>
      </c>
      <c r="B336" s="38"/>
      <c r="C336" s="38" t="s">
        <v>56</v>
      </c>
      <c r="D336" s="38" t="s">
        <v>56</v>
      </c>
      <c r="E336" s="38" t="s">
        <v>457</v>
      </c>
      <c r="F336" s="38" t="s">
        <v>275</v>
      </c>
      <c r="G336" s="43"/>
      <c r="I336" s="43">
        <f>G336+H336</f>
        <v>0</v>
      </c>
      <c r="K336" s="43">
        <f>I336+J336</f>
        <v>0</v>
      </c>
      <c r="L336" s="56">
        <v>401</v>
      </c>
      <c r="M336" s="43">
        <f>K336+L336</f>
        <v>401</v>
      </c>
      <c r="N336" s="56">
        <v>-92.3</v>
      </c>
      <c r="O336" s="73">
        <f>M336+N336</f>
        <v>308.7</v>
      </c>
      <c r="Q336" s="73">
        <f>O336+P336</f>
        <v>308.7</v>
      </c>
    </row>
    <row r="337" spans="1:17" ht="31.5" x14ac:dyDescent="0.25">
      <c r="A337" s="42" t="s">
        <v>461</v>
      </c>
      <c r="B337" s="38"/>
      <c r="C337" s="38" t="s">
        <v>56</v>
      </c>
      <c r="D337" s="38" t="s">
        <v>56</v>
      </c>
      <c r="E337" s="38" t="s">
        <v>578</v>
      </c>
      <c r="F337" s="38"/>
      <c r="G337" s="43"/>
      <c r="I337" s="43"/>
      <c r="K337" s="43"/>
      <c r="L337" s="56"/>
      <c r="M337" s="43">
        <f>M338</f>
        <v>137</v>
      </c>
      <c r="N337" s="56"/>
      <c r="O337" s="73">
        <f>O338</f>
        <v>113.19</v>
      </c>
      <c r="Q337" s="73">
        <f>Q338</f>
        <v>113.19</v>
      </c>
    </row>
    <row r="338" spans="1:17" x14ac:dyDescent="0.25">
      <c r="A338" s="39" t="s">
        <v>274</v>
      </c>
      <c r="B338" s="38"/>
      <c r="C338" s="38" t="s">
        <v>56</v>
      </c>
      <c r="D338" s="38" t="s">
        <v>56</v>
      </c>
      <c r="E338" s="38" t="s">
        <v>578</v>
      </c>
      <c r="F338" s="38" t="s">
        <v>275</v>
      </c>
      <c r="G338" s="43"/>
      <c r="I338" s="43"/>
      <c r="K338" s="43"/>
      <c r="L338" s="56">
        <v>137</v>
      </c>
      <c r="M338" s="43">
        <f>K338+L338</f>
        <v>137</v>
      </c>
      <c r="N338" s="56">
        <v>-23.81</v>
      </c>
      <c r="O338" s="73">
        <f>M338+N338</f>
        <v>113.19</v>
      </c>
      <c r="Q338" s="73">
        <f>O338+P338</f>
        <v>113.19</v>
      </c>
    </row>
    <row r="339" spans="1:17" x14ac:dyDescent="0.25">
      <c r="A339" s="34" t="s">
        <v>67</v>
      </c>
      <c r="B339" s="35"/>
      <c r="C339" s="35" t="s">
        <v>68</v>
      </c>
      <c r="D339" s="35"/>
      <c r="E339" s="35"/>
      <c r="F339" s="35"/>
      <c r="G339" s="44">
        <f>G343+G354+G340</f>
        <v>11430.400000000001</v>
      </c>
      <c r="I339" s="44">
        <f>I343+I354+I340</f>
        <v>11464</v>
      </c>
      <c r="K339" s="44">
        <f>K343+K354+K340</f>
        <v>11464</v>
      </c>
      <c r="L339" s="56"/>
      <c r="M339" s="44">
        <f>M343+M354+M340</f>
        <v>11741.67</v>
      </c>
      <c r="N339" s="56"/>
      <c r="O339" s="72">
        <f>O343+O354+O340</f>
        <v>10622.61</v>
      </c>
      <c r="Q339" s="72">
        <f>Q343+Q354+Q340</f>
        <v>10622.61</v>
      </c>
    </row>
    <row r="340" spans="1:17" x14ac:dyDescent="0.25">
      <c r="A340" s="34" t="s">
        <v>389</v>
      </c>
      <c r="B340" s="35"/>
      <c r="C340" s="35" t="s">
        <v>68</v>
      </c>
      <c r="D340" s="35" t="s">
        <v>15</v>
      </c>
      <c r="E340" s="35"/>
      <c r="F340" s="35"/>
      <c r="G340" s="44">
        <f>G341</f>
        <v>440.2</v>
      </c>
      <c r="I340" s="44">
        <f>I341</f>
        <v>473.8</v>
      </c>
      <c r="K340" s="44">
        <f>K341</f>
        <v>473.8</v>
      </c>
      <c r="L340" s="56"/>
      <c r="M340" s="44">
        <f>M341</f>
        <v>473.8</v>
      </c>
      <c r="N340" s="56"/>
      <c r="O340" s="72">
        <f>O341</f>
        <v>473.8</v>
      </c>
      <c r="Q340" s="72">
        <f>Q341</f>
        <v>473.8</v>
      </c>
    </row>
    <row r="341" spans="1:17" x14ac:dyDescent="0.25">
      <c r="A341" s="39" t="s">
        <v>390</v>
      </c>
      <c r="B341" s="35"/>
      <c r="C341" s="38" t="s">
        <v>68</v>
      </c>
      <c r="D341" s="38" t="s">
        <v>15</v>
      </c>
      <c r="E341" s="38" t="s">
        <v>391</v>
      </c>
      <c r="F341" s="38"/>
      <c r="G341" s="43">
        <f>G342</f>
        <v>440.2</v>
      </c>
      <c r="I341" s="43">
        <f>I342</f>
        <v>473.8</v>
      </c>
      <c r="K341" s="43">
        <f>K342</f>
        <v>473.8</v>
      </c>
      <c r="L341" s="56"/>
      <c r="M341" s="43">
        <f>M342</f>
        <v>473.8</v>
      </c>
      <c r="N341" s="56"/>
      <c r="O341" s="73">
        <f>O342</f>
        <v>473.8</v>
      </c>
      <c r="Q341" s="73">
        <f>Q342</f>
        <v>473.8</v>
      </c>
    </row>
    <row r="342" spans="1:17" ht="16.5" customHeight="1" x14ac:dyDescent="0.25">
      <c r="A342" s="42" t="s">
        <v>392</v>
      </c>
      <c r="B342" s="35"/>
      <c r="C342" s="38" t="s">
        <v>68</v>
      </c>
      <c r="D342" s="38" t="s">
        <v>15</v>
      </c>
      <c r="E342" s="38" t="s">
        <v>391</v>
      </c>
      <c r="F342" s="38" t="s">
        <v>393</v>
      </c>
      <c r="G342" s="43">
        <f>440.2</f>
        <v>440.2</v>
      </c>
      <c r="H342" s="56">
        <v>33.6</v>
      </c>
      <c r="I342" s="43">
        <f>G342+H342</f>
        <v>473.8</v>
      </c>
      <c r="K342" s="43">
        <f>I342+J342</f>
        <v>473.8</v>
      </c>
      <c r="L342" s="56"/>
      <c r="M342" s="43">
        <f>K342+L342</f>
        <v>473.8</v>
      </c>
      <c r="N342" s="56"/>
      <c r="O342" s="73">
        <f>M342+N342</f>
        <v>473.8</v>
      </c>
      <c r="Q342" s="73">
        <f>O342+P342</f>
        <v>473.8</v>
      </c>
    </row>
    <row r="343" spans="1:17" x14ac:dyDescent="0.25">
      <c r="A343" s="34" t="s">
        <v>69</v>
      </c>
      <c r="B343" s="35"/>
      <c r="C343" s="35" t="s">
        <v>68</v>
      </c>
      <c r="D343" s="35" t="s">
        <v>20</v>
      </c>
      <c r="E343" s="35"/>
      <c r="F343" s="35"/>
      <c r="G343" s="44">
        <f>G346+G348+G352</f>
        <v>4605.3999999999996</v>
      </c>
      <c r="I343" s="44">
        <f>I346+I348+I352</f>
        <v>4605.3999999999996</v>
      </c>
      <c r="K343" s="44">
        <f>K346+K348+K352</f>
        <v>4605.3999999999996</v>
      </c>
      <c r="L343" s="56"/>
      <c r="M343" s="44">
        <f>M346+M348+M352+M344+M350</f>
        <v>4857.22</v>
      </c>
      <c r="N343" s="56"/>
      <c r="O343" s="72">
        <f>O346+O348+O352+O344+O350</f>
        <v>4857.22</v>
      </c>
      <c r="Q343" s="72">
        <f>Q346+Q348+Q352+Q344+Q350</f>
        <v>4857.22</v>
      </c>
    </row>
    <row r="344" spans="1:17" ht="16.5" customHeight="1" x14ac:dyDescent="0.25">
      <c r="A344" s="42" t="s">
        <v>464</v>
      </c>
      <c r="B344" s="38"/>
      <c r="C344" s="38" t="s">
        <v>68</v>
      </c>
      <c r="D344" s="38" t="s">
        <v>20</v>
      </c>
      <c r="E344" s="38" t="s">
        <v>463</v>
      </c>
      <c r="F344" s="38"/>
      <c r="G344" s="43"/>
      <c r="I344" s="43"/>
      <c r="K344" s="43"/>
      <c r="L344" s="56"/>
      <c r="M344" s="43">
        <f>M345</f>
        <v>99.54</v>
      </c>
      <c r="N344" s="56"/>
      <c r="O344" s="73">
        <f>O345</f>
        <v>99.54</v>
      </c>
      <c r="Q344" s="73">
        <f>Q345</f>
        <v>99.54</v>
      </c>
    </row>
    <row r="345" spans="1:17" ht="31.5" x14ac:dyDescent="0.25">
      <c r="A345" s="42" t="s">
        <v>285</v>
      </c>
      <c r="B345" s="38"/>
      <c r="C345" s="38" t="s">
        <v>68</v>
      </c>
      <c r="D345" s="38" t="s">
        <v>20</v>
      </c>
      <c r="E345" s="38" t="s">
        <v>463</v>
      </c>
      <c r="F345" s="38" t="s">
        <v>284</v>
      </c>
      <c r="G345" s="43"/>
      <c r="I345" s="43"/>
      <c r="K345" s="43"/>
      <c r="L345" s="56">
        <v>99.54</v>
      </c>
      <c r="M345" s="43">
        <f>K345+L345</f>
        <v>99.54</v>
      </c>
      <c r="N345" s="56"/>
      <c r="O345" s="73">
        <f>M345+N345</f>
        <v>99.54</v>
      </c>
      <c r="Q345" s="73">
        <f>O345+P345</f>
        <v>99.54</v>
      </c>
    </row>
    <row r="346" spans="1:17" x14ac:dyDescent="0.25">
      <c r="A346" s="39" t="s">
        <v>102</v>
      </c>
      <c r="B346" s="38"/>
      <c r="C346" s="38" t="s">
        <v>68</v>
      </c>
      <c r="D346" s="38" t="s">
        <v>20</v>
      </c>
      <c r="E346" s="38" t="s">
        <v>273</v>
      </c>
      <c r="F346" s="38"/>
      <c r="G346" s="43">
        <f>G347</f>
        <v>958.6</v>
      </c>
      <c r="I346" s="43">
        <f>I347</f>
        <v>958.6</v>
      </c>
      <c r="K346" s="43">
        <f>K347</f>
        <v>958.6</v>
      </c>
      <c r="L346" s="56"/>
      <c r="M346" s="43">
        <f>M347</f>
        <v>1104.3</v>
      </c>
      <c r="N346" s="56"/>
      <c r="O346" s="73">
        <f>O347</f>
        <v>1104.3</v>
      </c>
      <c r="Q346" s="73">
        <f>Q347</f>
        <v>1104.3</v>
      </c>
    </row>
    <row r="347" spans="1:17" x14ac:dyDescent="0.25">
      <c r="A347" s="39" t="s">
        <v>274</v>
      </c>
      <c r="B347" s="38"/>
      <c r="C347" s="38" t="s">
        <v>68</v>
      </c>
      <c r="D347" s="38" t="s">
        <v>20</v>
      </c>
      <c r="E347" s="38" t="s">
        <v>273</v>
      </c>
      <c r="F347" s="38" t="s">
        <v>275</v>
      </c>
      <c r="G347" s="43">
        <f>98.6+350+510</f>
        <v>958.6</v>
      </c>
      <c r="I347" s="43">
        <f>G347+H347</f>
        <v>958.6</v>
      </c>
      <c r="K347" s="43">
        <f>I347+J347</f>
        <v>958.6</v>
      </c>
      <c r="L347" s="56">
        <f>25+120.7</f>
        <v>145.69999999999999</v>
      </c>
      <c r="M347" s="43">
        <f>K347+L347</f>
        <v>1104.3</v>
      </c>
      <c r="N347" s="56"/>
      <c r="O347" s="73">
        <f>M347+N347</f>
        <v>1104.3</v>
      </c>
      <c r="Q347" s="73">
        <f>O347+P347</f>
        <v>1104.3</v>
      </c>
    </row>
    <row r="348" spans="1:17" x14ac:dyDescent="0.25">
      <c r="A348" s="39" t="s">
        <v>72</v>
      </c>
      <c r="B348" s="38"/>
      <c r="C348" s="38" t="s">
        <v>68</v>
      </c>
      <c r="D348" s="38" t="s">
        <v>20</v>
      </c>
      <c r="E348" s="38" t="s">
        <v>229</v>
      </c>
      <c r="F348" s="38"/>
      <c r="G348" s="43">
        <f>G349</f>
        <v>1920</v>
      </c>
      <c r="I348" s="43">
        <f>I349</f>
        <v>1920</v>
      </c>
      <c r="K348" s="43">
        <f>K349</f>
        <v>1920</v>
      </c>
      <c r="L348" s="56"/>
      <c r="M348" s="43">
        <f>M349</f>
        <v>1790</v>
      </c>
      <c r="N348" s="56"/>
      <c r="O348" s="73">
        <f>O349</f>
        <v>1790</v>
      </c>
      <c r="Q348" s="73">
        <f>Q349</f>
        <v>1790</v>
      </c>
    </row>
    <row r="349" spans="1:17" x14ac:dyDescent="0.25">
      <c r="A349" s="41" t="s">
        <v>224</v>
      </c>
      <c r="B349" s="38"/>
      <c r="C349" s="38" t="s">
        <v>68</v>
      </c>
      <c r="D349" s="38" t="s">
        <v>20</v>
      </c>
      <c r="E349" s="38" t="s">
        <v>229</v>
      </c>
      <c r="F349" s="38" t="s">
        <v>210</v>
      </c>
      <c r="G349" s="43">
        <f>31.9+252+296.7+367.8+297.6+400+144+130</f>
        <v>1920</v>
      </c>
      <c r="I349" s="43">
        <f>G349+H349</f>
        <v>1920</v>
      </c>
      <c r="K349" s="43">
        <f>I349+J349</f>
        <v>1920</v>
      </c>
      <c r="L349" s="56">
        <v>-130</v>
      </c>
      <c r="M349" s="43">
        <f>K349+L349</f>
        <v>1790</v>
      </c>
      <c r="N349" s="56"/>
      <c r="O349" s="73">
        <f>M349+N349</f>
        <v>1790</v>
      </c>
      <c r="Q349" s="73">
        <f>O349+P349</f>
        <v>1790</v>
      </c>
    </row>
    <row r="350" spans="1:17" x14ac:dyDescent="0.25">
      <c r="A350" s="42" t="s">
        <v>467</v>
      </c>
      <c r="B350" s="38"/>
      <c r="C350" s="38" t="s">
        <v>68</v>
      </c>
      <c r="D350" s="38" t="s">
        <v>20</v>
      </c>
      <c r="E350" s="38" t="s">
        <v>466</v>
      </c>
      <c r="F350" s="38"/>
      <c r="G350" s="43"/>
      <c r="I350" s="43"/>
      <c r="K350" s="43"/>
      <c r="L350" s="56"/>
      <c r="M350" s="43">
        <f>M351</f>
        <v>136.58000000000001</v>
      </c>
      <c r="N350" s="56"/>
      <c r="O350" s="73">
        <f>O351</f>
        <v>136.58000000000001</v>
      </c>
      <c r="Q350" s="73">
        <f>Q351</f>
        <v>136.58000000000001</v>
      </c>
    </row>
    <row r="351" spans="1:17" ht="31.5" x14ac:dyDescent="0.25">
      <c r="A351" s="42" t="s">
        <v>285</v>
      </c>
      <c r="B351" s="38"/>
      <c r="C351" s="38" t="s">
        <v>68</v>
      </c>
      <c r="D351" s="38" t="s">
        <v>20</v>
      </c>
      <c r="E351" s="38" t="s">
        <v>466</v>
      </c>
      <c r="F351" s="38" t="s">
        <v>284</v>
      </c>
      <c r="G351" s="43"/>
      <c r="I351" s="43"/>
      <c r="K351" s="43"/>
      <c r="L351" s="56">
        <v>136.58000000000001</v>
      </c>
      <c r="M351" s="43">
        <f>K351+L351</f>
        <v>136.58000000000001</v>
      </c>
      <c r="N351" s="56"/>
      <c r="O351" s="73">
        <f>M351+N351</f>
        <v>136.58000000000001</v>
      </c>
      <c r="Q351" s="73">
        <f>O351+P351</f>
        <v>136.58000000000001</v>
      </c>
    </row>
    <row r="352" spans="1:17" ht="17.25" customHeight="1" x14ac:dyDescent="0.25">
      <c r="A352" s="19" t="s">
        <v>362</v>
      </c>
      <c r="B352" s="38"/>
      <c r="C352" s="38" t="s">
        <v>68</v>
      </c>
      <c r="D352" s="38" t="s">
        <v>20</v>
      </c>
      <c r="E352" s="38" t="s">
        <v>276</v>
      </c>
      <c r="F352" s="38"/>
      <c r="G352" s="43">
        <f>G353</f>
        <v>1726.8</v>
      </c>
      <c r="I352" s="43">
        <f>I353</f>
        <v>1726.8</v>
      </c>
      <c r="K352" s="43">
        <f>K353</f>
        <v>1726.8</v>
      </c>
      <c r="L352" s="56"/>
      <c r="M352" s="43">
        <f>M353</f>
        <v>1726.8</v>
      </c>
      <c r="N352" s="56"/>
      <c r="O352" s="73">
        <f>O353</f>
        <v>1726.8</v>
      </c>
      <c r="Q352" s="73">
        <f>Q353</f>
        <v>1726.8</v>
      </c>
    </row>
    <row r="353" spans="1:17" x14ac:dyDescent="0.25">
      <c r="A353" s="39" t="s">
        <v>278</v>
      </c>
      <c r="B353" s="38"/>
      <c r="C353" s="38" t="s">
        <v>68</v>
      </c>
      <c r="D353" s="38" t="s">
        <v>20</v>
      </c>
      <c r="E353" s="38" t="s">
        <v>276</v>
      </c>
      <c r="F353" s="38" t="s">
        <v>277</v>
      </c>
      <c r="G353" s="43">
        <v>1726.8</v>
      </c>
      <c r="I353" s="43">
        <f>G353+H353</f>
        <v>1726.8</v>
      </c>
      <c r="K353" s="43">
        <f>I353+J353</f>
        <v>1726.8</v>
      </c>
      <c r="L353" s="56"/>
      <c r="M353" s="43">
        <f>K353+L353</f>
        <v>1726.8</v>
      </c>
      <c r="N353" s="56"/>
      <c r="O353" s="73">
        <f>M353+N353</f>
        <v>1726.8</v>
      </c>
      <c r="Q353" s="73">
        <f>O353+P353</f>
        <v>1726.8</v>
      </c>
    </row>
    <row r="354" spans="1:17" x14ac:dyDescent="0.25">
      <c r="A354" s="34" t="s">
        <v>103</v>
      </c>
      <c r="B354" s="35"/>
      <c r="C354" s="35" t="s">
        <v>68</v>
      </c>
      <c r="D354" s="35" t="s">
        <v>98</v>
      </c>
      <c r="E354" s="35"/>
      <c r="F354" s="35"/>
      <c r="G354" s="44">
        <f>G355+G366+G361+G371</f>
        <v>6384.8000000000011</v>
      </c>
      <c r="I354" s="44">
        <f>I355+I366+I361+I371</f>
        <v>6384.8000000000011</v>
      </c>
      <c r="K354" s="44">
        <f>K355+K366+K361+K371</f>
        <v>6384.8000000000011</v>
      </c>
      <c r="L354" s="56"/>
      <c r="M354" s="44">
        <f>M355+M366+M361+M371</f>
        <v>6410.6500000000005</v>
      </c>
      <c r="N354" s="56"/>
      <c r="O354" s="72">
        <f>O355+O366+O361+O371</f>
        <v>5291.5900000000011</v>
      </c>
      <c r="Q354" s="72">
        <f>Q355+Q366+Q361+Q371</f>
        <v>5291.5900000000011</v>
      </c>
    </row>
    <row r="355" spans="1:17" x14ac:dyDescent="0.25">
      <c r="A355" s="39" t="s">
        <v>234</v>
      </c>
      <c r="B355" s="38"/>
      <c r="C355" s="38" t="s">
        <v>68</v>
      </c>
      <c r="D355" s="38" t="s">
        <v>98</v>
      </c>
      <c r="E355" s="38" t="s">
        <v>23</v>
      </c>
      <c r="F355" s="38"/>
      <c r="G355" s="43">
        <f>G356+G358+G359</f>
        <v>3353.9000000000005</v>
      </c>
      <c r="I355" s="43">
        <f>I356+I358+I359</f>
        <v>3353.9000000000005</v>
      </c>
      <c r="K355" s="43">
        <f>K356+K358+K359</f>
        <v>3353.9000000000005</v>
      </c>
      <c r="L355" s="56"/>
      <c r="M355" s="43">
        <f>M356+M358+M359+M357+M360</f>
        <v>3353.9000000000005</v>
      </c>
      <c r="N355" s="56"/>
      <c r="O355" s="73">
        <f>O356+O358+O359+O357+O360</f>
        <v>3353.9000000000005</v>
      </c>
      <c r="Q355" s="73">
        <f>Q356+Q358+Q359+Q357+Q360</f>
        <v>3353.9000000000005</v>
      </c>
    </row>
    <row r="356" spans="1:17" x14ac:dyDescent="0.25">
      <c r="A356" s="19" t="s">
        <v>204</v>
      </c>
      <c r="B356" s="38"/>
      <c r="C356" s="38" t="s">
        <v>68</v>
      </c>
      <c r="D356" s="38" t="s">
        <v>98</v>
      </c>
      <c r="E356" s="38" t="s">
        <v>23</v>
      </c>
      <c r="F356" s="38" t="s">
        <v>205</v>
      </c>
      <c r="G356" s="43">
        <f>2396.9+670.2</f>
        <v>3067.1000000000004</v>
      </c>
      <c r="I356" s="43">
        <f>G356+H356</f>
        <v>3067.1000000000004</v>
      </c>
      <c r="K356" s="43">
        <f>I356+J356</f>
        <v>3067.1000000000004</v>
      </c>
      <c r="L356" s="56"/>
      <c r="M356" s="43">
        <f>K356+L356</f>
        <v>3067.1000000000004</v>
      </c>
      <c r="N356" s="56"/>
      <c r="O356" s="73">
        <f>M356+N356</f>
        <v>3067.1000000000004</v>
      </c>
      <c r="Q356" s="73">
        <f>O356+P356</f>
        <v>3067.1000000000004</v>
      </c>
    </row>
    <row r="357" spans="1:17" x14ac:dyDescent="0.25">
      <c r="A357" s="19" t="s">
        <v>206</v>
      </c>
      <c r="B357" s="38"/>
      <c r="C357" s="38" t="s">
        <v>68</v>
      </c>
      <c r="D357" s="38" t="s">
        <v>20</v>
      </c>
      <c r="E357" s="38" t="s">
        <v>23</v>
      </c>
      <c r="F357" s="38" t="s">
        <v>207</v>
      </c>
      <c r="G357" s="43"/>
      <c r="I357" s="43"/>
      <c r="K357" s="43"/>
      <c r="L357" s="56">
        <v>3</v>
      </c>
      <c r="M357" s="43">
        <f>K357+L357</f>
        <v>3</v>
      </c>
      <c r="N357" s="56"/>
      <c r="O357" s="73">
        <f>M357+N357</f>
        <v>3</v>
      </c>
      <c r="Q357" s="73">
        <f>O357+P357</f>
        <v>3</v>
      </c>
    </row>
    <row r="358" spans="1:17" ht="17.25" customHeight="1" x14ac:dyDescent="0.25">
      <c r="A358" s="19" t="s">
        <v>208</v>
      </c>
      <c r="B358" s="38"/>
      <c r="C358" s="38" t="s">
        <v>68</v>
      </c>
      <c r="D358" s="38" t="s">
        <v>98</v>
      </c>
      <c r="E358" s="38" t="s">
        <v>23</v>
      </c>
      <c r="F358" s="38" t="s">
        <v>209</v>
      </c>
      <c r="G358" s="43">
        <f>6+20+15+30</f>
        <v>71</v>
      </c>
      <c r="I358" s="43">
        <f>G358+H358</f>
        <v>71</v>
      </c>
      <c r="K358" s="43">
        <f>I358+J358</f>
        <v>71</v>
      </c>
      <c r="L358" s="56"/>
      <c r="M358" s="43">
        <f>K358+L358</f>
        <v>71</v>
      </c>
      <c r="N358" s="56"/>
      <c r="O358" s="73">
        <f>M358+N358</f>
        <v>71</v>
      </c>
      <c r="Q358" s="73">
        <f>O358+P358</f>
        <v>71</v>
      </c>
    </row>
    <row r="359" spans="1:17" x14ac:dyDescent="0.25">
      <c r="A359" s="41" t="s">
        <v>224</v>
      </c>
      <c r="B359" s="38"/>
      <c r="C359" s="38" t="s">
        <v>68</v>
      </c>
      <c r="D359" s="38" t="s">
        <v>98</v>
      </c>
      <c r="E359" s="38" t="s">
        <v>23</v>
      </c>
      <c r="F359" s="38" t="s">
        <v>210</v>
      </c>
      <c r="G359" s="43">
        <f>12+2+4.8+24+27+4+142</f>
        <v>215.8</v>
      </c>
      <c r="I359" s="43">
        <f>G359+H359</f>
        <v>215.8</v>
      </c>
      <c r="K359" s="43">
        <f>I359+J359</f>
        <v>215.8</v>
      </c>
      <c r="L359" s="56">
        <v>-6</v>
      </c>
      <c r="M359" s="43">
        <f>K359+L359</f>
        <v>209.8</v>
      </c>
      <c r="N359" s="56"/>
      <c r="O359" s="73">
        <f>M359+N359</f>
        <v>209.8</v>
      </c>
      <c r="Q359" s="73">
        <f>O359+P359</f>
        <v>209.8</v>
      </c>
    </row>
    <row r="360" spans="1:17" x14ac:dyDescent="0.25">
      <c r="A360" s="47" t="s">
        <v>300</v>
      </c>
      <c r="B360" s="38"/>
      <c r="C360" s="38" t="s">
        <v>68</v>
      </c>
      <c r="D360" s="38" t="s">
        <v>98</v>
      </c>
      <c r="E360" s="38" t="s">
        <v>23</v>
      </c>
      <c r="F360" s="38" t="s">
        <v>299</v>
      </c>
      <c r="G360" s="43"/>
      <c r="I360" s="43"/>
      <c r="K360" s="43"/>
      <c r="L360" s="56">
        <v>3</v>
      </c>
      <c r="M360" s="43">
        <f>K360+L360</f>
        <v>3</v>
      </c>
      <c r="N360" s="56"/>
      <c r="O360" s="73">
        <f>M360+N360</f>
        <v>3</v>
      </c>
      <c r="Q360" s="73">
        <f>O360+P360</f>
        <v>3</v>
      </c>
    </row>
    <row r="361" spans="1:17" ht="16.5" customHeight="1" x14ac:dyDescent="0.25">
      <c r="A361" s="19" t="s">
        <v>281</v>
      </c>
      <c r="B361" s="38"/>
      <c r="C361" s="38" t="s">
        <v>68</v>
      </c>
      <c r="D361" s="38" t="s">
        <v>98</v>
      </c>
      <c r="E361" s="38" t="s">
        <v>323</v>
      </c>
      <c r="F361" s="38"/>
      <c r="G361" s="43">
        <f>G362+G365+G364</f>
        <v>864</v>
      </c>
      <c r="I361" s="43">
        <f>I362+I365+I364</f>
        <v>864</v>
      </c>
      <c r="K361" s="43">
        <f>K362+K365+K364</f>
        <v>864</v>
      </c>
      <c r="L361" s="56"/>
      <c r="M361" s="43">
        <f>M362+M365+M364+M363</f>
        <v>886.8</v>
      </c>
      <c r="N361" s="56"/>
      <c r="O361" s="73">
        <f>O362+O365+O364+O363</f>
        <v>886.8</v>
      </c>
      <c r="Q361" s="73">
        <f>Q362+Q365+Q364+Q363</f>
        <v>886.8</v>
      </c>
    </row>
    <row r="362" spans="1:17" x14ac:dyDescent="0.25">
      <c r="A362" s="19" t="s">
        <v>204</v>
      </c>
      <c r="B362" s="38"/>
      <c r="C362" s="38" t="s">
        <v>68</v>
      </c>
      <c r="D362" s="38" t="s">
        <v>98</v>
      </c>
      <c r="E362" s="38" t="s">
        <v>324</v>
      </c>
      <c r="F362" s="38" t="s">
        <v>205</v>
      </c>
      <c r="G362" s="43">
        <f>652.1+196.9</f>
        <v>849</v>
      </c>
      <c r="I362" s="43">
        <f>G362+H362</f>
        <v>849</v>
      </c>
      <c r="K362" s="43">
        <f>I362+J362</f>
        <v>849</v>
      </c>
      <c r="L362" s="56">
        <v>22.8</v>
      </c>
      <c r="M362" s="43">
        <f>K362+L362</f>
        <v>871.8</v>
      </c>
      <c r="N362" s="56"/>
      <c r="O362" s="73">
        <f>M362+N362</f>
        <v>871.8</v>
      </c>
      <c r="Q362" s="73">
        <f>O362+P362</f>
        <v>871.8</v>
      </c>
    </row>
    <row r="363" spans="1:17" x14ac:dyDescent="0.25">
      <c r="A363" s="19" t="s">
        <v>206</v>
      </c>
      <c r="B363" s="38"/>
      <c r="C363" s="38" t="s">
        <v>68</v>
      </c>
      <c r="D363" s="38" t="s">
        <v>98</v>
      </c>
      <c r="E363" s="38" t="s">
        <v>23</v>
      </c>
      <c r="F363" s="38" t="s">
        <v>207</v>
      </c>
      <c r="G363" s="43"/>
      <c r="I363" s="43"/>
      <c r="K363" s="43"/>
      <c r="L363" s="56">
        <v>2</v>
      </c>
      <c r="M363" s="43">
        <f>K363+L363</f>
        <v>2</v>
      </c>
      <c r="N363" s="56"/>
      <c r="O363" s="73">
        <f>M363+N363</f>
        <v>2</v>
      </c>
      <c r="Q363" s="73">
        <f>O363+P363</f>
        <v>2</v>
      </c>
    </row>
    <row r="364" spans="1:17" ht="15" customHeight="1" x14ac:dyDescent="0.25">
      <c r="A364" s="19" t="s">
        <v>208</v>
      </c>
      <c r="B364" s="38"/>
      <c r="C364" s="38" t="s">
        <v>68</v>
      </c>
      <c r="D364" s="38" t="s">
        <v>98</v>
      </c>
      <c r="E364" s="38" t="s">
        <v>323</v>
      </c>
      <c r="F364" s="38" t="s">
        <v>209</v>
      </c>
      <c r="G364" s="43">
        <f>3+4</f>
        <v>7</v>
      </c>
      <c r="I364" s="43">
        <f>G364+H364</f>
        <v>7</v>
      </c>
      <c r="K364" s="43">
        <f>I364+J364</f>
        <v>7</v>
      </c>
      <c r="L364" s="56"/>
      <c r="M364" s="43">
        <f>K364+L364</f>
        <v>7</v>
      </c>
      <c r="N364" s="56"/>
      <c r="O364" s="73">
        <f>M364+N364</f>
        <v>7</v>
      </c>
      <c r="Q364" s="73">
        <f>O364+P364</f>
        <v>7</v>
      </c>
    </row>
    <row r="365" spans="1:17" x14ac:dyDescent="0.25">
      <c r="A365" s="41" t="s">
        <v>224</v>
      </c>
      <c r="B365" s="38"/>
      <c r="C365" s="38" t="s">
        <v>68</v>
      </c>
      <c r="D365" s="38" t="s">
        <v>98</v>
      </c>
      <c r="E365" s="38" t="s">
        <v>324</v>
      </c>
      <c r="F365" s="38" t="s">
        <v>210</v>
      </c>
      <c r="G365" s="43">
        <f>3.5+4.5</f>
        <v>8</v>
      </c>
      <c r="I365" s="43">
        <f>G365+H365</f>
        <v>8</v>
      </c>
      <c r="K365" s="43">
        <f>I365+J365</f>
        <v>8</v>
      </c>
      <c r="L365" s="56">
        <v>-2</v>
      </c>
      <c r="M365" s="43">
        <f>K365+L365</f>
        <v>6</v>
      </c>
      <c r="N365" s="56"/>
      <c r="O365" s="73">
        <f>M365+N365</f>
        <v>6</v>
      </c>
      <c r="Q365" s="73">
        <f>O365+P365</f>
        <v>6</v>
      </c>
    </row>
    <row r="366" spans="1:17" ht="27.75" customHeight="1" x14ac:dyDescent="0.25">
      <c r="A366" s="19" t="s">
        <v>280</v>
      </c>
      <c r="B366" s="38"/>
      <c r="C366" s="38" t="s">
        <v>68</v>
      </c>
      <c r="D366" s="38" t="s">
        <v>98</v>
      </c>
      <c r="E366" s="38" t="s">
        <v>322</v>
      </c>
      <c r="F366" s="38"/>
      <c r="G366" s="43">
        <f>G367+G370+G369</f>
        <v>144.9</v>
      </c>
      <c r="I366" s="43">
        <f>I367+I370+I369</f>
        <v>144.9</v>
      </c>
      <c r="K366" s="43">
        <f>K367+K370+K369</f>
        <v>144.9</v>
      </c>
      <c r="L366" s="56"/>
      <c r="M366" s="43">
        <f>M367+M370+M369+M368</f>
        <v>147.95000000000002</v>
      </c>
      <c r="N366" s="56"/>
      <c r="O366" s="73">
        <f>O367+O370+O369+O368</f>
        <v>158.34000000000003</v>
      </c>
      <c r="Q366" s="73">
        <f>Q367+Q370+Q369+Q368</f>
        <v>158.34000000000003</v>
      </c>
    </row>
    <row r="367" spans="1:17" x14ac:dyDescent="0.25">
      <c r="A367" s="19" t="s">
        <v>204</v>
      </c>
      <c r="B367" s="38"/>
      <c r="C367" s="38" t="s">
        <v>68</v>
      </c>
      <c r="D367" s="38" t="s">
        <v>98</v>
      </c>
      <c r="E367" s="38" t="s">
        <v>322</v>
      </c>
      <c r="F367" s="38" t="s">
        <v>205</v>
      </c>
      <c r="G367" s="43">
        <f>104.4+31.5</f>
        <v>135.9</v>
      </c>
      <c r="I367" s="43">
        <f>G367+H367</f>
        <v>135.9</v>
      </c>
      <c r="K367" s="43">
        <f>I367+J367</f>
        <v>135.9</v>
      </c>
      <c r="L367" s="56">
        <v>3.05</v>
      </c>
      <c r="M367" s="43">
        <f>K367+L367</f>
        <v>138.95000000000002</v>
      </c>
      <c r="N367" s="56">
        <v>10.39</v>
      </c>
      <c r="O367" s="73">
        <f>M367+N367</f>
        <v>149.34000000000003</v>
      </c>
      <c r="Q367" s="73">
        <f>O367+P367</f>
        <v>149.34000000000003</v>
      </c>
    </row>
    <row r="368" spans="1:17" x14ac:dyDescent="0.25">
      <c r="A368" s="19" t="s">
        <v>206</v>
      </c>
      <c r="B368" s="38"/>
      <c r="C368" s="38" t="s">
        <v>68</v>
      </c>
      <c r="D368" s="38" t="s">
        <v>98</v>
      </c>
      <c r="E368" s="38" t="s">
        <v>322</v>
      </c>
      <c r="F368" s="38" t="s">
        <v>207</v>
      </c>
      <c r="G368" s="43"/>
      <c r="I368" s="43"/>
      <c r="K368" s="43"/>
      <c r="L368" s="56">
        <v>1</v>
      </c>
      <c r="M368" s="43">
        <f>K368+L368</f>
        <v>1</v>
      </c>
      <c r="N368" s="56"/>
      <c r="O368" s="73">
        <f>M368+N368</f>
        <v>1</v>
      </c>
      <c r="Q368" s="73">
        <f>O368+P368</f>
        <v>1</v>
      </c>
    </row>
    <row r="369" spans="1:17" ht="18" customHeight="1" x14ac:dyDescent="0.25">
      <c r="A369" s="19" t="s">
        <v>208</v>
      </c>
      <c r="B369" s="38"/>
      <c r="C369" s="38" t="s">
        <v>68</v>
      </c>
      <c r="D369" s="38" t="s">
        <v>98</v>
      </c>
      <c r="E369" s="38" t="s">
        <v>322</v>
      </c>
      <c r="F369" s="38" t="s">
        <v>209</v>
      </c>
      <c r="G369" s="43">
        <v>3</v>
      </c>
      <c r="I369" s="43">
        <f>G369+H369</f>
        <v>3</v>
      </c>
      <c r="K369" s="43">
        <f>I369+J369</f>
        <v>3</v>
      </c>
      <c r="L369" s="56"/>
      <c r="M369" s="43">
        <f>K369+L369</f>
        <v>3</v>
      </c>
      <c r="N369" s="56"/>
      <c r="O369" s="73">
        <f>M369+N369</f>
        <v>3</v>
      </c>
      <c r="Q369" s="73">
        <f>O369+P369</f>
        <v>3</v>
      </c>
    </row>
    <row r="370" spans="1:17" x14ac:dyDescent="0.25">
      <c r="A370" s="41" t="s">
        <v>224</v>
      </c>
      <c r="B370" s="38"/>
      <c r="C370" s="38" t="s">
        <v>68</v>
      </c>
      <c r="D370" s="38" t="s">
        <v>98</v>
      </c>
      <c r="E370" s="38" t="s">
        <v>322</v>
      </c>
      <c r="F370" s="38" t="s">
        <v>210</v>
      </c>
      <c r="G370" s="43">
        <v>6</v>
      </c>
      <c r="I370" s="43">
        <f>G370+H370</f>
        <v>6</v>
      </c>
      <c r="K370" s="43">
        <f>I370+J370</f>
        <v>6</v>
      </c>
      <c r="L370" s="56">
        <v>-1</v>
      </c>
      <c r="M370" s="43">
        <f>K370+L370</f>
        <v>5</v>
      </c>
      <c r="N370" s="56"/>
      <c r="O370" s="73">
        <f>M370+N370</f>
        <v>5</v>
      </c>
      <c r="Q370" s="73">
        <f>O370+P370</f>
        <v>5</v>
      </c>
    </row>
    <row r="371" spans="1:17" x14ac:dyDescent="0.25">
      <c r="A371" s="128" t="s">
        <v>361</v>
      </c>
      <c r="B371" s="38"/>
      <c r="C371" s="38" t="s">
        <v>68</v>
      </c>
      <c r="D371" s="38" t="s">
        <v>98</v>
      </c>
      <c r="E371" s="38" t="s">
        <v>286</v>
      </c>
      <c r="F371" s="38"/>
      <c r="G371" s="43">
        <f>G372</f>
        <v>2022</v>
      </c>
      <c r="I371" s="43">
        <f>I372</f>
        <v>2022</v>
      </c>
      <c r="K371" s="43">
        <f>K372</f>
        <v>2022</v>
      </c>
      <c r="L371" s="56"/>
      <c r="M371" s="43">
        <f>M372</f>
        <v>2022</v>
      </c>
      <c r="N371" s="56"/>
      <c r="O371" s="73">
        <f>O372</f>
        <v>892.55</v>
      </c>
      <c r="Q371" s="73">
        <f>Q372</f>
        <v>892.55</v>
      </c>
    </row>
    <row r="372" spans="1:17" x14ac:dyDescent="0.25">
      <c r="A372" s="41" t="s">
        <v>224</v>
      </c>
      <c r="B372" s="38"/>
      <c r="C372" s="38" t="s">
        <v>68</v>
      </c>
      <c r="D372" s="38" t="s">
        <v>98</v>
      </c>
      <c r="E372" s="38" t="s">
        <v>286</v>
      </c>
      <c r="F372" s="38" t="s">
        <v>210</v>
      </c>
      <c r="G372" s="43">
        <v>2022</v>
      </c>
      <c r="I372" s="43">
        <f>G372+H372</f>
        <v>2022</v>
      </c>
      <c r="K372" s="43">
        <f>I372+J372</f>
        <v>2022</v>
      </c>
      <c r="L372" s="56"/>
      <c r="M372" s="43">
        <f>K372+L372</f>
        <v>2022</v>
      </c>
      <c r="N372" s="56">
        <v>-1129.45</v>
      </c>
      <c r="O372" s="73">
        <f>M372+N372</f>
        <v>892.55</v>
      </c>
      <c r="Q372" s="73">
        <f>O372+P372</f>
        <v>892.55</v>
      </c>
    </row>
    <row r="373" spans="1:17" ht="13.5" customHeight="1" x14ac:dyDescent="0.25">
      <c r="A373" s="40" t="s">
        <v>288</v>
      </c>
      <c r="B373" s="35" t="s">
        <v>8</v>
      </c>
      <c r="C373" s="35"/>
      <c r="D373" s="35"/>
      <c r="E373" s="35"/>
      <c r="F373" s="35"/>
      <c r="G373" s="44">
        <f>G374</f>
        <v>9699.1</v>
      </c>
      <c r="I373" s="44">
        <f>I374</f>
        <v>9699.1</v>
      </c>
      <c r="K373" s="44">
        <f>K374</f>
        <v>9699.1</v>
      </c>
      <c r="L373" s="56"/>
      <c r="M373" s="63">
        <f>M374</f>
        <v>9931.6</v>
      </c>
      <c r="N373" s="56"/>
      <c r="O373" s="72">
        <f>O374</f>
        <v>9931.6</v>
      </c>
      <c r="Q373" s="72">
        <f>Q374</f>
        <v>9931.6</v>
      </c>
    </row>
    <row r="374" spans="1:17" x14ac:dyDescent="0.25">
      <c r="A374" s="40" t="s">
        <v>129</v>
      </c>
      <c r="B374" s="35"/>
      <c r="C374" s="35" t="s">
        <v>15</v>
      </c>
      <c r="D374" s="35"/>
      <c r="E374" s="38"/>
      <c r="F374" s="38"/>
      <c r="G374" s="43">
        <f>G375</f>
        <v>9699.1</v>
      </c>
      <c r="I374" s="43">
        <f>I375</f>
        <v>9699.1</v>
      </c>
      <c r="K374" s="43">
        <f>K375</f>
        <v>9699.1</v>
      </c>
      <c r="L374" s="56"/>
      <c r="M374" s="43">
        <f>M375</f>
        <v>9931.6</v>
      </c>
      <c r="N374" s="56"/>
      <c r="O374" s="73">
        <f>O375</f>
        <v>9931.6</v>
      </c>
      <c r="Q374" s="73">
        <f>Q375</f>
        <v>9931.6</v>
      </c>
    </row>
    <row r="375" spans="1:17" x14ac:dyDescent="0.25">
      <c r="A375" s="40" t="s">
        <v>29</v>
      </c>
      <c r="B375" s="35"/>
      <c r="C375" s="35" t="s">
        <v>15</v>
      </c>
      <c r="D375" s="35" t="s">
        <v>185</v>
      </c>
      <c r="E375" s="38"/>
      <c r="F375" s="38"/>
      <c r="G375" s="43">
        <f>G376</f>
        <v>9699.1</v>
      </c>
      <c r="I375" s="43">
        <f>I376</f>
        <v>9699.1</v>
      </c>
      <c r="K375" s="43">
        <f>K376</f>
        <v>9699.1</v>
      </c>
      <c r="L375" s="56"/>
      <c r="M375" s="43">
        <f>M376</f>
        <v>9931.6</v>
      </c>
      <c r="N375" s="56"/>
      <c r="O375" s="73">
        <f>O376</f>
        <v>9931.6</v>
      </c>
      <c r="Q375" s="73">
        <f>Q376</f>
        <v>9931.6</v>
      </c>
    </row>
    <row r="376" spans="1:17" x14ac:dyDescent="0.25">
      <c r="A376" s="39" t="s">
        <v>260</v>
      </c>
      <c r="B376" s="38"/>
      <c r="C376" s="38" t="s">
        <v>15</v>
      </c>
      <c r="D376" s="38" t="s">
        <v>185</v>
      </c>
      <c r="E376" s="38" t="s">
        <v>259</v>
      </c>
      <c r="F376" s="38"/>
      <c r="G376" s="43">
        <f>G377+G379+G378+G380+G381</f>
        <v>9699.1</v>
      </c>
      <c r="I376" s="43">
        <f>I377+I379+I378+I380+I381</f>
        <v>9699.1</v>
      </c>
      <c r="K376" s="43">
        <f>K377+K379+K378+K380+K381</f>
        <v>9699.1</v>
      </c>
      <c r="L376" s="56"/>
      <c r="M376" s="43">
        <f>M377+M379+M378+M380+M381</f>
        <v>9931.6</v>
      </c>
      <c r="N376" s="56"/>
      <c r="O376" s="73">
        <f>O377+O379+O378+O380+O381</f>
        <v>9931.6</v>
      </c>
      <c r="Q376" s="73">
        <f>Q377+Q379+Q378+Q380+Q381</f>
        <v>9931.6</v>
      </c>
    </row>
    <row r="377" spans="1:17" x14ac:dyDescent="0.25">
      <c r="A377" s="19" t="s">
        <v>204</v>
      </c>
      <c r="B377" s="38"/>
      <c r="C377" s="38" t="s">
        <v>15</v>
      </c>
      <c r="D377" s="38" t="s">
        <v>185</v>
      </c>
      <c r="E377" s="38" t="s">
        <v>259</v>
      </c>
      <c r="F377" s="38" t="s">
        <v>394</v>
      </c>
      <c r="G377" s="43">
        <f>5162+1559+114.9</f>
        <v>6835.9</v>
      </c>
      <c r="I377" s="43">
        <f>G377+H377</f>
        <v>6835.9</v>
      </c>
      <c r="K377" s="43">
        <f>I377+J377</f>
        <v>6835.9</v>
      </c>
      <c r="L377" s="56"/>
      <c r="M377" s="43">
        <f>K377+L377</f>
        <v>6835.9</v>
      </c>
      <c r="N377" s="56"/>
      <c r="O377" s="73">
        <f>M377+N377</f>
        <v>6835.9</v>
      </c>
      <c r="Q377" s="73">
        <f>O377+P377</f>
        <v>6835.9</v>
      </c>
    </row>
    <row r="378" spans="1:17" ht="18.75" customHeight="1" x14ac:dyDescent="0.25">
      <c r="A378" s="19" t="s">
        <v>208</v>
      </c>
      <c r="B378" s="38"/>
      <c r="C378" s="38" t="s">
        <v>15</v>
      </c>
      <c r="D378" s="38" t="s">
        <v>185</v>
      </c>
      <c r="E378" s="38" t="s">
        <v>259</v>
      </c>
      <c r="F378" s="38" t="s">
        <v>209</v>
      </c>
      <c r="G378" s="43">
        <f>30+24.4+636</f>
        <v>690.4</v>
      </c>
      <c r="I378" s="43">
        <f>G378+H378</f>
        <v>690.4</v>
      </c>
      <c r="K378" s="43">
        <f>I378+J378</f>
        <v>690.4</v>
      </c>
      <c r="L378" s="56"/>
      <c r="M378" s="43">
        <f>K378+L378</f>
        <v>690.4</v>
      </c>
      <c r="N378" s="56"/>
      <c r="O378" s="73">
        <f>M378+N378</f>
        <v>690.4</v>
      </c>
      <c r="Q378" s="73">
        <f>O378+P378</f>
        <v>690.4</v>
      </c>
    </row>
    <row r="379" spans="1:17" x14ac:dyDescent="0.25">
      <c r="A379" s="41" t="s">
        <v>224</v>
      </c>
      <c r="B379" s="38"/>
      <c r="C379" s="38" t="s">
        <v>15</v>
      </c>
      <c r="D379" s="38" t="s">
        <v>185</v>
      </c>
      <c r="E379" s="38" t="s">
        <v>259</v>
      </c>
      <c r="F379" s="38" t="s">
        <v>210</v>
      </c>
      <c r="G379" s="43">
        <f>1605.3+143.2+124.3+260</f>
        <v>2132.8000000000002</v>
      </c>
      <c r="I379" s="43">
        <f>G379+H379</f>
        <v>2132.8000000000002</v>
      </c>
      <c r="K379" s="43">
        <f>I379+J379</f>
        <v>2132.8000000000002</v>
      </c>
      <c r="L379" s="56">
        <v>30</v>
      </c>
      <c r="M379" s="43">
        <f>K379+L379</f>
        <v>2162.8000000000002</v>
      </c>
      <c r="N379" s="56"/>
      <c r="O379" s="73">
        <f>M379+N379</f>
        <v>2162.8000000000002</v>
      </c>
      <c r="Q379" s="73">
        <f>O379+P379</f>
        <v>2162.8000000000002</v>
      </c>
    </row>
    <row r="380" spans="1:17" x14ac:dyDescent="0.25">
      <c r="A380" s="47" t="s">
        <v>318</v>
      </c>
      <c r="B380" s="38"/>
      <c r="C380" s="38" t="s">
        <v>15</v>
      </c>
      <c r="D380" s="38" t="s">
        <v>185</v>
      </c>
      <c r="E380" s="38" t="s">
        <v>259</v>
      </c>
      <c r="F380" s="38" t="s">
        <v>317</v>
      </c>
      <c r="G380" s="43"/>
      <c r="I380" s="43">
        <f>G380+H380</f>
        <v>0</v>
      </c>
      <c r="K380" s="43">
        <f>I380+J380</f>
        <v>0</v>
      </c>
      <c r="L380" s="56">
        <v>202.5</v>
      </c>
      <c r="M380" s="43">
        <f>K380+L380</f>
        <v>202.5</v>
      </c>
      <c r="N380" s="56"/>
      <c r="O380" s="73">
        <f>M380+N380</f>
        <v>202.5</v>
      </c>
      <c r="Q380" s="73">
        <f>O380+P380</f>
        <v>202.5</v>
      </c>
    </row>
    <row r="381" spans="1:17" x14ac:dyDescent="0.25">
      <c r="A381" s="47" t="s">
        <v>300</v>
      </c>
      <c r="B381" s="38"/>
      <c r="C381" s="38" t="s">
        <v>15</v>
      </c>
      <c r="D381" s="38" t="s">
        <v>185</v>
      </c>
      <c r="E381" s="38" t="s">
        <v>259</v>
      </c>
      <c r="F381" s="38" t="s">
        <v>299</v>
      </c>
      <c r="G381" s="43">
        <v>40</v>
      </c>
      <c r="I381" s="43">
        <f>G381+H381</f>
        <v>40</v>
      </c>
      <c r="K381" s="43">
        <f>I381+J381</f>
        <v>40</v>
      </c>
      <c r="L381" s="56"/>
      <c r="M381" s="43">
        <f>K381+L381</f>
        <v>40</v>
      </c>
      <c r="N381" s="56"/>
      <c r="O381" s="73">
        <f>M381+N381</f>
        <v>40</v>
      </c>
      <c r="Q381" s="73">
        <f>O381+P381</f>
        <v>40</v>
      </c>
    </row>
    <row r="382" spans="1:17" x14ac:dyDescent="0.25">
      <c r="A382" s="122" t="s">
        <v>363</v>
      </c>
      <c r="B382" s="35" t="s">
        <v>115</v>
      </c>
      <c r="C382" s="35"/>
      <c r="D382" s="35"/>
      <c r="E382" s="35"/>
      <c r="F382" s="35"/>
      <c r="G382" s="44">
        <f>G383</f>
        <v>3757.2</v>
      </c>
      <c r="I382" s="44">
        <f>I383</f>
        <v>3757.2</v>
      </c>
      <c r="K382" s="44">
        <f>K383</f>
        <v>3757.2</v>
      </c>
      <c r="L382" s="56"/>
      <c r="M382" s="63">
        <f>M383</f>
        <v>3795.3</v>
      </c>
      <c r="N382" s="56"/>
      <c r="O382" s="72">
        <f>O383</f>
        <v>3857.3</v>
      </c>
      <c r="Q382" s="72">
        <f>Q383</f>
        <v>3857.3</v>
      </c>
    </row>
    <row r="383" spans="1:17" x14ac:dyDescent="0.25">
      <c r="A383" s="34" t="s">
        <v>227</v>
      </c>
      <c r="B383" s="35"/>
      <c r="C383" s="35" t="s">
        <v>43</v>
      </c>
      <c r="D383" s="35"/>
      <c r="E383" s="35"/>
      <c r="F383" s="35"/>
      <c r="G383" s="44">
        <f>G384</f>
        <v>3757.2</v>
      </c>
      <c r="I383" s="44">
        <f>I384</f>
        <v>3757.2</v>
      </c>
      <c r="K383" s="44">
        <f>K384</f>
        <v>3757.2</v>
      </c>
      <c r="L383" s="56"/>
      <c r="M383" s="44">
        <f>M384</f>
        <v>3795.3</v>
      </c>
      <c r="N383" s="56"/>
      <c r="O383" s="72">
        <f>O384+O394</f>
        <v>3857.3</v>
      </c>
      <c r="Q383" s="72">
        <f>Q384+Q394</f>
        <v>3857.3</v>
      </c>
    </row>
    <row r="384" spans="1:17" x14ac:dyDescent="0.25">
      <c r="A384" s="34" t="s">
        <v>148</v>
      </c>
      <c r="B384" s="35"/>
      <c r="C384" s="35" t="s">
        <v>43</v>
      </c>
      <c r="D384" s="35" t="s">
        <v>15</v>
      </c>
      <c r="E384" s="35"/>
      <c r="F384" s="35"/>
      <c r="G384" s="44">
        <f>G385</f>
        <v>3757.2</v>
      </c>
      <c r="I384" s="44">
        <f>I385</f>
        <v>3757.2</v>
      </c>
      <c r="K384" s="44">
        <f>K385</f>
        <v>3757.2</v>
      </c>
      <c r="L384" s="56"/>
      <c r="M384" s="44">
        <f>M385</f>
        <v>3795.3</v>
      </c>
      <c r="N384" s="56"/>
      <c r="O384" s="72">
        <f>O385</f>
        <v>3795.3</v>
      </c>
      <c r="Q384" s="72">
        <f>Q385</f>
        <v>3795.3</v>
      </c>
    </row>
    <row r="385" spans="1:17" x14ac:dyDescent="0.25">
      <c r="A385" s="39" t="s">
        <v>116</v>
      </c>
      <c r="B385" s="38"/>
      <c r="C385" s="38" t="s">
        <v>43</v>
      </c>
      <c r="D385" s="38" t="s">
        <v>15</v>
      </c>
      <c r="E385" s="38" t="s">
        <v>295</v>
      </c>
      <c r="F385" s="38"/>
      <c r="G385" s="43">
        <f>G388</f>
        <v>3757.2</v>
      </c>
      <c r="I385" s="43">
        <f>I388</f>
        <v>3757.2</v>
      </c>
      <c r="K385" s="43">
        <f>K388</f>
        <v>3757.2</v>
      </c>
      <c r="L385" s="56"/>
      <c r="M385" s="43">
        <f>M388+M386</f>
        <v>3795.3</v>
      </c>
      <c r="N385" s="56"/>
      <c r="O385" s="73">
        <f>O388+O386</f>
        <v>3795.3</v>
      </c>
      <c r="Q385" s="73">
        <f>Q388+Q386</f>
        <v>3795.3</v>
      </c>
    </row>
    <row r="386" spans="1:17" ht="15" customHeight="1" x14ac:dyDescent="0.25">
      <c r="A386" s="19" t="s">
        <v>501</v>
      </c>
      <c r="B386" s="38"/>
      <c r="C386" s="38" t="s">
        <v>43</v>
      </c>
      <c r="D386" s="38" t="s">
        <v>15</v>
      </c>
      <c r="E386" s="38" t="s">
        <v>500</v>
      </c>
      <c r="F386" s="38"/>
      <c r="G386" s="43"/>
      <c r="I386" s="43"/>
      <c r="K386" s="43"/>
      <c r="L386" s="56"/>
      <c r="M386" s="43">
        <f>M387</f>
        <v>38.1</v>
      </c>
      <c r="N386" s="56"/>
      <c r="O386" s="73">
        <f>O387</f>
        <v>38.1</v>
      </c>
      <c r="Q386" s="73">
        <f>Q387</f>
        <v>38.1</v>
      </c>
    </row>
    <row r="387" spans="1:17" x14ac:dyDescent="0.25">
      <c r="A387" s="19" t="s">
        <v>204</v>
      </c>
      <c r="B387" s="38"/>
      <c r="C387" s="38" t="s">
        <v>43</v>
      </c>
      <c r="D387" s="38" t="s">
        <v>15</v>
      </c>
      <c r="E387" s="38" t="s">
        <v>500</v>
      </c>
      <c r="F387" s="38" t="s">
        <v>394</v>
      </c>
      <c r="G387" s="43"/>
      <c r="I387" s="43"/>
      <c r="K387" s="43"/>
      <c r="L387" s="56">
        <v>38.1</v>
      </c>
      <c r="M387" s="43">
        <f>K387+L387</f>
        <v>38.1</v>
      </c>
      <c r="N387" s="56"/>
      <c r="O387" s="73">
        <f>M387+N387</f>
        <v>38.1</v>
      </c>
      <c r="Q387" s="73">
        <f>O387+P387</f>
        <v>38.1</v>
      </c>
    </row>
    <row r="388" spans="1:17" x14ac:dyDescent="0.25">
      <c r="A388" s="39" t="s">
        <v>52</v>
      </c>
      <c r="B388" s="38"/>
      <c r="C388" s="38" t="s">
        <v>43</v>
      </c>
      <c r="D388" s="38" t="s">
        <v>15</v>
      </c>
      <c r="E388" s="38" t="s">
        <v>291</v>
      </c>
      <c r="F388" s="38"/>
      <c r="G388" s="43">
        <f>SUM(G389:G393)</f>
        <v>3757.2</v>
      </c>
      <c r="I388" s="43">
        <f>SUM(I389:I393)</f>
        <v>3757.2</v>
      </c>
      <c r="K388" s="43">
        <f>SUM(K389:K393)</f>
        <v>3757.2</v>
      </c>
      <c r="L388" s="56"/>
      <c r="M388" s="43">
        <f>SUM(M389:M393)</f>
        <v>3757.2000000000003</v>
      </c>
      <c r="N388" s="56"/>
      <c r="O388" s="73">
        <f>SUM(O389:O393)</f>
        <v>3757.2000000000003</v>
      </c>
      <c r="Q388" s="73">
        <f>SUM(Q389:Q393)</f>
        <v>3757.2000000000003</v>
      </c>
    </row>
    <row r="389" spans="1:17" x14ac:dyDescent="0.25">
      <c r="A389" s="19" t="s">
        <v>204</v>
      </c>
      <c r="B389" s="38"/>
      <c r="C389" s="38" t="s">
        <v>43</v>
      </c>
      <c r="D389" s="38" t="s">
        <v>15</v>
      </c>
      <c r="E389" s="38" t="s">
        <v>291</v>
      </c>
      <c r="F389" s="38" t="s">
        <v>394</v>
      </c>
      <c r="G389" s="43">
        <f>2062.5+622.9</f>
        <v>2685.4</v>
      </c>
      <c r="I389" s="43">
        <f>G389+H389</f>
        <v>2685.4</v>
      </c>
      <c r="K389" s="43">
        <f>I389+J389</f>
        <v>2685.4</v>
      </c>
      <c r="L389" s="56"/>
      <c r="M389" s="43">
        <f>K389+L389</f>
        <v>2685.4</v>
      </c>
      <c r="N389" s="56"/>
      <c r="O389" s="73">
        <f>M389+N389</f>
        <v>2685.4</v>
      </c>
      <c r="Q389" s="73">
        <f>O389+P389</f>
        <v>2685.4</v>
      </c>
    </row>
    <row r="390" spans="1:17" ht="16.5" customHeight="1" x14ac:dyDescent="0.25">
      <c r="A390" s="19" t="s">
        <v>208</v>
      </c>
      <c r="B390" s="38"/>
      <c r="C390" s="38" t="s">
        <v>43</v>
      </c>
      <c r="D390" s="38" t="s">
        <v>15</v>
      </c>
      <c r="E390" s="38" t="s">
        <v>291</v>
      </c>
      <c r="F390" s="38" t="s">
        <v>209</v>
      </c>
      <c r="G390" s="43">
        <f>109.8+7.8+12+30.1</f>
        <v>159.69999999999999</v>
      </c>
      <c r="I390" s="43">
        <f>G390+H390</f>
        <v>159.69999999999999</v>
      </c>
      <c r="K390" s="43">
        <f>I390+J390</f>
        <v>159.69999999999999</v>
      </c>
      <c r="L390" s="56"/>
      <c r="M390" s="43">
        <f>K390+L390</f>
        <v>159.69999999999999</v>
      </c>
      <c r="N390" s="56"/>
      <c r="O390" s="73">
        <f>M390+N390</f>
        <v>159.69999999999999</v>
      </c>
      <c r="Q390" s="73">
        <f>O390+P390</f>
        <v>159.69999999999999</v>
      </c>
    </row>
    <row r="391" spans="1:17" x14ac:dyDescent="0.25">
      <c r="A391" s="41" t="s">
        <v>224</v>
      </c>
      <c r="B391" s="38"/>
      <c r="C391" s="38" t="s">
        <v>43</v>
      </c>
      <c r="D391" s="38" t="s">
        <v>15</v>
      </c>
      <c r="E391" s="38" t="s">
        <v>291</v>
      </c>
      <c r="F391" s="38" t="s">
        <v>210</v>
      </c>
      <c r="G391" s="43">
        <f>8+173.8+4.2+10+5.8+26+9.6+0.8+15.6+45+150+83.2+25+170+25+40.7+7+3.4+45+20+20+20+4</f>
        <v>912.1</v>
      </c>
      <c r="I391" s="43">
        <f>G391+H391</f>
        <v>912.1</v>
      </c>
      <c r="K391" s="43">
        <f>I391+J391</f>
        <v>912.1</v>
      </c>
      <c r="L391" s="56">
        <v>-83.2</v>
      </c>
      <c r="M391" s="43">
        <f>K391+L391</f>
        <v>828.9</v>
      </c>
      <c r="N391" s="56"/>
      <c r="O391" s="73">
        <f>M391+N391</f>
        <v>828.9</v>
      </c>
      <c r="Q391" s="73">
        <f>O391+P391</f>
        <v>828.9</v>
      </c>
    </row>
    <row r="392" spans="1:17" x14ac:dyDescent="0.25">
      <c r="A392" s="47" t="s">
        <v>318</v>
      </c>
      <c r="B392" s="38"/>
      <c r="C392" s="38" t="s">
        <v>43</v>
      </c>
      <c r="D392" s="38" t="s">
        <v>15</v>
      </c>
      <c r="E392" s="38" t="s">
        <v>291</v>
      </c>
      <c r="F392" s="38" t="s">
        <v>317</v>
      </c>
      <c r="G392" s="43"/>
      <c r="I392" s="43">
        <f>G392+H392</f>
        <v>0</v>
      </c>
      <c r="K392" s="43">
        <f>I392+J392</f>
        <v>0</v>
      </c>
      <c r="L392" s="56">
        <v>60.4</v>
      </c>
      <c r="M392" s="43">
        <f>K392+L392</f>
        <v>60.4</v>
      </c>
      <c r="N392" s="56"/>
      <c r="O392" s="73">
        <f>M392+N392</f>
        <v>60.4</v>
      </c>
      <c r="Q392" s="73">
        <f>O392+P392</f>
        <v>60.4</v>
      </c>
    </row>
    <row r="393" spans="1:17" x14ac:dyDescent="0.25">
      <c r="A393" s="47" t="s">
        <v>300</v>
      </c>
      <c r="B393" s="38"/>
      <c r="C393" s="38" t="s">
        <v>43</v>
      </c>
      <c r="D393" s="38" t="s">
        <v>15</v>
      </c>
      <c r="E393" s="38" t="s">
        <v>291</v>
      </c>
      <c r="F393" s="38" t="s">
        <v>299</v>
      </c>
      <c r="G393" s="43"/>
      <c r="I393" s="43">
        <f>G393+H393</f>
        <v>0</v>
      </c>
      <c r="K393" s="43">
        <f>I393+J393</f>
        <v>0</v>
      </c>
      <c r="L393" s="56">
        <v>22.8</v>
      </c>
      <c r="M393" s="43">
        <f>K393+L393</f>
        <v>22.8</v>
      </c>
      <c r="N393" s="56"/>
      <c r="O393" s="73">
        <f>M393+N393</f>
        <v>22.8</v>
      </c>
      <c r="Q393" s="73">
        <f>O393+P393</f>
        <v>22.8</v>
      </c>
    </row>
    <row r="394" spans="1:17" x14ac:dyDescent="0.25">
      <c r="A394" s="123" t="s">
        <v>581</v>
      </c>
      <c r="B394" s="38"/>
      <c r="C394" s="38" t="s">
        <v>43</v>
      </c>
      <c r="D394" s="38" t="s">
        <v>15</v>
      </c>
      <c r="E394" s="38" t="s">
        <v>582</v>
      </c>
      <c r="F394" s="38"/>
      <c r="G394" s="43"/>
      <c r="I394" s="43"/>
      <c r="K394" s="43"/>
      <c r="L394" s="56"/>
      <c r="M394" s="43"/>
      <c r="N394" s="56"/>
      <c r="O394" s="73">
        <f>O395</f>
        <v>62</v>
      </c>
      <c r="Q394" s="73">
        <f>Q395</f>
        <v>62</v>
      </c>
    </row>
    <row r="395" spans="1:17" x14ac:dyDescent="0.25">
      <c r="A395" s="41" t="s">
        <v>224</v>
      </c>
      <c r="B395" s="38"/>
      <c r="C395" s="38" t="s">
        <v>43</v>
      </c>
      <c r="D395" s="38" t="s">
        <v>15</v>
      </c>
      <c r="E395" s="38" t="s">
        <v>582</v>
      </c>
      <c r="F395" s="38" t="s">
        <v>210</v>
      </c>
      <c r="G395" s="43"/>
      <c r="I395" s="43"/>
      <c r="K395" s="43"/>
      <c r="L395" s="56"/>
      <c r="M395" s="43"/>
      <c r="N395" s="56">
        <v>62</v>
      </c>
      <c r="O395" s="73">
        <f>M395+N395</f>
        <v>62</v>
      </c>
      <c r="Q395" s="73">
        <f>O395+P395</f>
        <v>62</v>
      </c>
    </row>
    <row r="396" spans="1:17" ht="15" customHeight="1" x14ac:dyDescent="0.25">
      <c r="A396" s="40" t="s">
        <v>296</v>
      </c>
      <c r="B396" s="35" t="s">
        <v>87</v>
      </c>
      <c r="C396" s="35"/>
      <c r="D396" s="35"/>
      <c r="E396" s="35"/>
      <c r="F396" s="35"/>
      <c r="G396" s="44">
        <f>G397</f>
        <v>1708.9</v>
      </c>
      <c r="I396" s="44">
        <f>I397</f>
        <v>1708.9</v>
      </c>
      <c r="K396" s="44">
        <f>K397</f>
        <v>1708.9</v>
      </c>
      <c r="L396" s="56"/>
      <c r="M396" s="63">
        <f>M397</f>
        <v>1708.9</v>
      </c>
      <c r="N396" s="56"/>
      <c r="O396" s="72">
        <f>O397</f>
        <v>1708.9</v>
      </c>
      <c r="Q396" s="72">
        <f>Q397</f>
        <v>1708.9</v>
      </c>
    </row>
    <row r="397" spans="1:17" x14ac:dyDescent="0.25">
      <c r="A397" s="34" t="s">
        <v>227</v>
      </c>
      <c r="B397" s="35"/>
      <c r="C397" s="35" t="s">
        <v>43</v>
      </c>
      <c r="D397" s="35"/>
      <c r="E397" s="35"/>
      <c r="F397" s="35"/>
      <c r="G397" s="44">
        <f>G398</f>
        <v>1708.9</v>
      </c>
      <c r="I397" s="44">
        <f>I398</f>
        <v>1708.9</v>
      </c>
      <c r="K397" s="44">
        <f>K398</f>
        <v>1708.9</v>
      </c>
      <c r="L397" s="56"/>
      <c r="M397" s="44">
        <f>M398</f>
        <v>1708.9</v>
      </c>
      <c r="N397" s="56"/>
      <c r="O397" s="72">
        <f>O398</f>
        <v>1708.9</v>
      </c>
      <c r="Q397" s="72">
        <f>Q398</f>
        <v>1708.9</v>
      </c>
    </row>
    <row r="398" spans="1:17" x14ac:dyDescent="0.25">
      <c r="A398" s="34" t="s">
        <v>148</v>
      </c>
      <c r="B398" s="35"/>
      <c r="C398" s="35" t="s">
        <v>43</v>
      </c>
      <c r="D398" s="35" t="s">
        <v>15</v>
      </c>
      <c r="E398" s="35"/>
      <c r="F398" s="35"/>
      <c r="G398" s="44">
        <f>G399</f>
        <v>1708.9</v>
      </c>
      <c r="I398" s="44">
        <f>I399</f>
        <v>1708.9</v>
      </c>
      <c r="K398" s="44">
        <f>K399</f>
        <v>1708.9</v>
      </c>
      <c r="L398" s="56"/>
      <c r="M398" s="44">
        <f>M399</f>
        <v>1708.9</v>
      </c>
      <c r="N398" s="56"/>
      <c r="O398" s="72">
        <f>O399</f>
        <v>1708.9</v>
      </c>
      <c r="Q398" s="72">
        <f>Q399</f>
        <v>1708.9</v>
      </c>
    </row>
    <row r="399" spans="1:17" x14ac:dyDescent="0.25">
      <c r="A399" s="19" t="s">
        <v>293</v>
      </c>
      <c r="B399" s="38"/>
      <c r="C399" s="38" t="s">
        <v>43</v>
      </c>
      <c r="D399" s="38" t="s">
        <v>15</v>
      </c>
      <c r="E399" s="38" t="s">
        <v>294</v>
      </c>
      <c r="F399" s="38"/>
      <c r="G399" s="43">
        <f>G400</f>
        <v>1708.9</v>
      </c>
      <c r="I399" s="43">
        <f>I400</f>
        <v>1708.9</v>
      </c>
      <c r="K399" s="43">
        <f>K400</f>
        <v>1708.9</v>
      </c>
      <c r="L399" s="56"/>
      <c r="M399" s="43">
        <f>M400</f>
        <v>1708.9</v>
      </c>
      <c r="N399" s="56"/>
      <c r="O399" s="73">
        <f>O400</f>
        <v>1708.9</v>
      </c>
      <c r="Q399" s="73">
        <f>Q400</f>
        <v>1708.9</v>
      </c>
    </row>
    <row r="400" spans="1:17" x14ac:dyDescent="0.25">
      <c r="A400" s="39" t="s">
        <v>52</v>
      </c>
      <c r="B400" s="38"/>
      <c r="C400" s="38" t="s">
        <v>43</v>
      </c>
      <c r="D400" s="38" t="s">
        <v>15</v>
      </c>
      <c r="E400" s="38" t="s">
        <v>292</v>
      </c>
      <c r="F400" s="38"/>
      <c r="G400" s="43">
        <f>SUM(G401:G405)</f>
        <v>1708.9</v>
      </c>
      <c r="I400" s="43">
        <f>SUM(I401:I405)</f>
        <v>1708.9</v>
      </c>
      <c r="K400" s="43">
        <f>SUM(K401:K405)</f>
        <v>1708.9</v>
      </c>
      <c r="L400" s="56"/>
      <c r="M400" s="43">
        <f>SUM(M401:M405)</f>
        <v>1708.9</v>
      </c>
      <c r="N400" s="56"/>
      <c r="O400" s="73">
        <f>SUM(O401:O405)</f>
        <v>1708.9</v>
      </c>
      <c r="Q400" s="73">
        <f>SUM(Q401:Q405)</f>
        <v>1708.9</v>
      </c>
    </row>
    <row r="401" spans="1:17" x14ac:dyDescent="0.25">
      <c r="A401" s="19" t="s">
        <v>204</v>
      </c>
      <c r="B401" s="38"/>
      <c r="C401" s="38" t="s">
        <v>43</v>
      </c>
      <c r="D401" s="38" t="s">
        <v>15</v>
      </c>
      <c r="E401" s="38" t="s">
        <v>292</v>
      </c>
      <c r="F401" s="38" t="s">
        <v>394</v>
      </c>
      <c r="G401" s="43">
        <f>952.3+287.6</f>
        <v>1239.9000000000001</v>
      </c>
      <c r="I401" s="43">
        <f>G401+H401</f>
        <v>1239.9000000000001</v>
      </c>
      <c r="K401" s="43">
        <f>I401+J401</f>
        <v>1239.9000000000001</v>
      </c>
      <c r="L401" s="56"/>
      <c r="M401" s="43">
        <f>K401+L401</f>
        <v>1239.9000000000001</v>
      </c>
      <c r="N401" s="56"/>
      <c r="O401" s="73">
        <f>M401+N401</f>
        <v>1239.9000000000001</v>
      </c>
      <c r="Q401" s="73">
        <f>O401+P401</f>
        <v>1239.9000000000001</v>
      </c>
    </row>
    <row r="402" spans="1:17" ht="17.25" customHeight="1" x14ac:dyDescent="0.25">
      <c r="A402" s="19" t="s">
        <v>208</v>
      </c>
      <c r="B402" s="38"/>
      <c r="C402" s="38" t="s">
        <v>43</v>
      </c>
      <c r="D402" s="38" t="s">
        <v>15</v>
      </c>
      <c r="E402" s="38" t="s">
        <v>292</v>
      </c>
      <c r="F402" s="38" t="s">
        <v>209</v>
      </c>
      <c r="G402" s="43">
        <f>38.3</f>
        <v>38.299999999999997</v>
      </c>
      <c r="I402" s="43">
        <f>G402+H402</f>
        <v>38.299999999999997</v>
      </c>
      <c r="K402" s="43">
        <f>I402+J402</f>
        <v>38.299999999999997</v>
      </c>
      <c r="L402" s="56"/>
      <c r="M402" s="43">
        <f>K402+L402</f>
        <v>38.299999999999997</v>
      </c>
      <c r="N402" s="56"/>
      <c r="O402" s="73">
        <f>M402+N402</f>
        <v>38.299999999999997</v>
      </c>
      <c r="Q402" s="73">
        <f>O402+P402</f>
        <v>38.299999999999997</v>
      </c>
    </row>
    <row r="403" spans="1:17" x14ac:dyDescent="0.25">
      <c r="A403" s="41" t="s">
        <v>224</v>
      </c>
      <c r="B403" s="38"/>
      <c r="C403" s="38" t="s">
        <v>43</v>
      </c>
      <c r="D403" s="38" t="s">
        <v>15</v>
      </c>
      <c r="E403" s="38" t="s">
        <v>292</v>
      </c>
      <c r="F403" s="38" t="s">
        <v>210</v>
      </c>
      <c r="G403" s="43">
        <f>20+29.5+101.5+42+35+202.7</f>
        <v>430.7</v>
      </c>
      <c r="I403" s="43">
        <f>G403+H403</f>
        <v>430.7</v>
      </c>
      <c r="K403" s="43">
        <f>I403+J403</f>
        <v>430.7</v>
      </c>
      <c r="L403" s="56">
        <v>-22</v>
      </c>
      <c r="M403" s="43">
        <f>K403+L403</f>
        <v>408.7</v>
      </c>
      <c r="N403" s="56"/>
      <c r="O403" s="73">
        <f>M403+N403</f>
        <v>408.7</v>
      </c>
      <c r="Q403" s="73">
        <f>O403+P403</f>
        <v>408.7</v>
      </c>
    </row>
    <row r="404" spans="1:17" x14ac:dyDescent="0.25">
      <c r="A404" s="47" t="s">
        <v>318</v>
      </c>
      <c r="B404" s="38"/>
      <c r="C404" s="38" t="s">
        <v>43</v>
      </c>
      <c r="D404" s="38" t="s">
        <v>15</v>
      </c>
      <c r="E404" s="38" t="s">
        <v>292</v>
      </c>
      <c r="F404" s="38" t="s">
        <v>317</v>
      </c>
      <c r="G404" s="43"/>
      <c r="I404" s="43">
        <f>G404+H404</f>
        <v>0</v>
      </c>
      <c r="K404" s="43">
        <f>I404+J404</f>
        <v>0</v>
      </c>
      <c r="L404" s="56">
        <v>5</v>
      </c>
      <c r="M404" s="43">
        <f>K404+L404</f>
        <v>5</v>
      </c>
      <c r="N404" s="56"/>
      <c r="O404" s="73">
        <f>M404+N404</f>
        <v>5</v>
      </c>
      <c r="Q404" s="73">
        <f>O404+P404</f>
        <v>5</v>
      </c>
    </row>
    <row r="405" spans="1:17" x14ac:dyDescent="0.25">
      <c r="A405" s="47" t="s">
        <v>300</v>
      </c>
      <c r="B405" s="38"/>
      <c r="C405" s="38" t="s">
        <v>43</v>
      </c>
      <c r="D405" s="38" t="s">
        <v>15</v>
      </c>
      <c r="E405" s="38" t="s">
        <v>292</v>
      </c>
      <c r="F405" s="38" t="s">
        <v>299</v>
      </c>
      <c r="G405" s="43"/>
      <c r="I405" s="43">
        <f>G405+H405</f>
        <v>0</v>
      </c>
      <c r="K405" s="43">
        <f>I405+J405</f>
        <v>0</v>
      </c>
      <c r="L405" s="56">
        <v>17</v>
      </c>
      <c r="M405" s="43">
        <f>K405+L405</f>
        <v>17</v>
      </c>
      <c r="N405" s="56"/>
      <c r="O405" s="73">
        <f>M405+N405</f>
        <v>17</v>
      </c>
      <c r="Q405" s="73">
        <f>O405+P405</f>
        <v>17</v>
      </c>
    </row>
    <row r="406" spans="1:17" ht="30" customHeight="1" x14ac:dyDescent="0.25">
      <c r="A406" s="40" t="s">
        <v>342</v>
      </c>
      <c r="B406" s="35" t="s">
        <v>423</v>
      </c>
      <c r="C406" s="35"/>
      <c r="D406" s="35"/>
      <c r="E406" s="35"/>
      <c r="F406" s="35"/>
      <c r="G406" s="44">
        <f>G407+G483+G448</f>
        <v>25491.4</v>
      </c>
      <c r="I406" s="44">
        <f>I407+I483+I448</f>
        <v>30046.6</v>
      </c>
      <c r="K406" s="44">
        <f>K407+K483+K448</f>
        <v>24831.599999999999</v>
      </c>
      <c r="L406" s="56"/>
      <c r="M406" s="63">
        <f>M407+M483+M448</f>
        <v>90451.359999999986</v>
      </c>
      <c r="N406" s="56"/>
      <c r="O406" s="72">
        <f>O407+O483+O448</f>
        <v>281898.99</v>
      </c>
      <c r="Q406" s="72">
        <f>Q407+Q483+Q448</f>
        <v>281898.99</v>
      </c>
    </row>
    <row r="407" spans="1:17" x14ac:dyDescent="0.25">
      <c r="A407" s="37" t="s">
        <v>42</v>
      </c>
      <c r="B407" s="38"/>
      <c r="C407" s="35" t="s">
        <v>24</v>
      </c>
      <c r="D407" s="35"/>
      <c r="E407" s="35"/>
      <c r="F407" s="35"/>
      <c r="G407" s="44">
        <f>G425+G414+G420</f>
        <v>14491.4</v>
      </c>
      <c r="H407" s="57"/>
      <c r="I407" s="44">
        <f>I425+I414+I420</f>
        <v>18746.599999999999</v>
      </c>
      <c r="J407" s="57"/>
      <c r="K407" s="44">
        <f>K425+K414+K420</f>
        <v>18831.599999999999</v>
      </c>
      <c r="L407" s="56"/>
      <c r="M407" s="44">
        <f>M425+M414+M420+M408</f>
        <v>26145.66</v>
      </c>
      <c r="N407" s="56"/>
      <c r="O407" s="72">
        <f>O425+O414+O420+O408</f>
        <v>112470.54</v>
      </c>
      <c r="Q407" s="72">
        <f>Q425+Q414+Q420+Q408</f>
        <v>112470.54</v>
      </c>
    </row>
    <row r="408" spans="1:17" x14ac:dyDescent="0.25">
      <c r="A408" s="62" t="s">
        <v>516</v>
      </c>
      <c r="B408" s="38"/>
      <c r="C408" s="35" t="s">
        <v>24</v>
      </c>
      <c r="D408" s="35" t="s">
        <v>17</v>
      </c>
      <c r="E408" s="35"/>
      <c r="F408" s="35"/>
      <c r="G408" s="44"/>
      <c r="H408" s="57"/>
      <c r="I408" s="44"/>
      <c r="J408" s="57"/>
      <c r="K408" s="44"/>
      <c r="L408" s="57"/>
      <c r="M408" s="44">
        <f>M409+M411</f>
        <v>312.05</v>
      </c>
      <c r="N408" s="57"/>
      <c r="O408" s="72">
        <f>O409+O411</f>
        <v>312.05</v>
      </c>
      <c r="Q408" s="72">
        <f>Q409+Q411</f>
        <v>312.05</v>
      </c>
    </row>
    <row r="409" spans="1:17" ht="31.5" x14ac:dyDescent="0.25">
      <c r="A409" s="42" t="s">
        <v>515</v>
      </c>
      <c r="B409" s="38"/>
      <c r="C409" s="38" t="s">
        <v>24</v>
      </c>
      <c r="D409" s="38" t="s">
        <v>17</v>
      </c>
      <c r="E409" s="38" t="s">
        <v>514</v>
      </c>
      <c r="F409" s="38"/>
      <c r="G409" s="43"/>
      <c r="I409" s="43"/>
      <c r="K409" s="43"/>
      <c r="L409" s="56"/>
      <c r="M409" s="43">
        <f>M410</f>
        <v>278.17</v>
      </c>
      <c r="N409" s="56"/>
      <c r="O409" s="73">
        <f>O410</f>
        <v>278.17</v>
      </c>
      <c r="Q409" s="73">
        <f>Q410</f>
        <v>278.17</v>
      </c>
    </row>
    <row r="410" spans="1:17" x14ac:dyDescent="0.25">
      <c r="A410" s="41" t="s">
        <v>224</v>
      </c>
      <c r="B410" s="38"/>
      <c r="C410" s="38" t="s">
        <v>24</v>
      </c>
      <c r="D410" s="38" t="s">
        <v>17</v>
      </c>
      <c r="E410" s="38" t="s">
        <v>514</v>
      </c>
      <c r="F410" s="38" t="s">
        <v>210</v>
      </c>
      <c r="G410" s="43"/>
      <c r="I410" s="43"/>
      <c r="K410" s="43"/>
      <c r="L410" s="56">
        <v>278.17</v>
      </c>
      <c r="M410" s="43">
        <f>L410+K410</f>
        <v>278.17</v>
      </c>
      <c r="N410" s="56"/>
      <c r="O410" s="73">
        <f>N410+M410</f>
        <v>278.17</v>
      </c>
      <c r="Q410" s="73">
        <f>P410+O410</f>
        <v>278.17</v>
      </c>
    </row>
    <row r="411" spans="1:17" ht="33" customHeight="1" x14ac:dyDescent="0.25">
      <c r="A411" s="41" t="s">
        <v>518</v>
      </c>
      <c r="B411" s="38"/>
      <c r="C411" s="38" t="s">
        <v>24</v>
      </c>
      <c r="D411" s="38" t="s">
        <v>17</v>
      </c>
      <c r="E411" s="38" t="s">
        <v>517</v>
      </c>
      <c r="F411" s="38"/>
      <c r="G411" s="43"/>
      <c r="I411" s="43"/>
      <c r="K411" s="43"/>
      <c r="L411" s="56"/>
      <c r="M411" s="43">
        <f>M412+M413</f>
        <v>33.879999999999995</v>
      </c>
      <c r="N411" s="56"/>
      <c r="O411" s="73">
        <f>O412+O413</f>
        <v>33.879999999999995</v>
      </c>
      <c r="Q411" s="73">
        <f>Q412+Q413</f>
        <v>33.879999999999995</v>
      </c>
    </row>
    <row r="412" spans="1:17" x14ac:dyDescent="0.25">
      <c r="A412" s="41" t="s">
        <v>224</v>
      </c>
      <c r="B412" s="38"/>
      <c r="C412" s="38" t="s">
        <v>24</v>
      </c>
      <c r="D412" s="38" t="s">
        <v>17</v>
      </c>
      <c r="E412" s="38" t="s">
        <v>517</v>
      </c>
      <c r="F412" s="38" t="s">
        <v>210</v>
      </c>
      <c r="G412" s="43"/>
      <c r="I412" s="43"/>
      <c r="K412" s="43"/>
      <c r="L412" s="56">
        <v>11.82</v>
      </c>
      <c r="M412" s="43">
        <f>L412+K412</f>
        <v>11.82</v>
      </c>
      <c r="N412" s="56"/>
      <c r="O412" s="73">
        <f>N412+M412</f>
        <v>11.82</v>
      </c>
      <c r="Q412" s="73">
        <f>P412+O412</f>
        <v>11.82</v>
      </c>
    </row>
    <row r="413" spans="1:17" ht="19.5" customHeight="1" x14ac:dyDescent="0.25">
      <c r="A413" s="41" t="s">
        <v>302</v>
      </c>
      <c r="B413" s="38"/>
      <c r="C413" s="38" t="s">
        <v>24</v>
      </c>
      <c r="D413" s="38" t="s">
        <v>17</v>
      </c>
      <c r="E413" s="38" t="s">
        <v>517</v>
      </c>
      <c r="F413" s="38" t="s">
        <v>301</v>
      </c>
      <c r="G413" s="43"/>
      <c r="I413" s="43"/>
      <c r="K413" s="43"/>
      <c r="L413" s="56">
        <v>22.06</v>
      </c>
      <c r="M413" s="43">
        <f>L413+K413</f>
        <v>22.06</v>
      </c>
      <c r="N413" s="56"/>
      <c r="O413" s="73">
        <f>N413+M413</f>
        <v>22.06</v>
      </c>
      <c r="Q413" s="73">
        <f>P413+O413</f>
        <v>22.06</v>
      </c>
    </row>
    <row r="414" spans="1:17" x14ac:dyDescent="0.25">
      <c r="A414" s="62" t="s">
        <v>304</v>
      </c>
      <c r="B414" s="38"/>
      <c r="C414" s="35" t="s">
        <v>24</v>
      </c>
      <c r="D414" s="35" t="s">
        <v>63</v>
      </c>
      <c r="E414" s="35"/>
      <c r="F414" s="35"/>
      <c r="G414" s="44">
        <f>G416</f>
        <v>6900</v>
      </c>
      <c r="H414" s="57"/>
      <c r="I414" s="44">
        <f>I416</f>
        <v>10000</v>
      </c>
      <c r="J414" s="57"/>
      <c r="K414" s="44">
        <f>K416</f>
        <v>10085</v>
      </c>
      <c r="L414" s="56"/>
      <c r="M414" s="44">
        <f>M416</f>
        <v>14585</v>
      </c>
      <c r="N414" s="56"/>
      <c r="O414" s="72">
        <f>O416+O415</f>
        <v>24645.54</v>
      </c>
      <c r="Q414" s="72">
        <f>Q416+Q415</f>
        <v>24645.54</v>
      </c>
    </row>
    <row r="415" spans="1:17" ht="31.5" x14ac:dyDescent="0.25">
      <c r="A415" s="19" t="s">
        <v>586</v>
      </c>
      <c r="B415" s="38"/>
      <c r="C415" s="38" t="s">
        <v>24</v>
      </c>
      <c r="D415" s="38" t="s">
        <v>63</v>
      </c>
      <c r="E415" s="38" t="s">
        <v>587</v>
      </c>
      <c r="F415" s="38"/>
      <c r="G415" s="43"/>
      <c r="I415" s="43"/>
      <c r="K415" s="43"/>
      <c r="L415" s="56"/>
      <c r="M415" s="43"/>
      <c r="N415" s="56">
        <v>10060.540000000001</v>
      </c>
      <c r="O415" s="73">
        <f>M415+N415</f>
        <v>10060.540000000001</v>
      </c>
      <c r="Q415" s="73">
        <f>O415+P415</f>
        <v>10060.540000000001</v>
      </c>
    </row>
    <row r="416" spans="1:17" ht="36.75" customHeight="1" x14ac:dyDescent="0.25">
      <c r="A416" s="19" t="s">
        <v>586</v>
      </c>
      <c r="B416" s="38"/>
      <c r="C416" s="38" t="s">
        <v>24</v>
      </c>
      <c r="D416" s="38" t="s">
        <v>63</v>
      </c>
      <c r="E416" s="38" t="s">
        <v>305</v>
      </c>
      <c r="F416" s="38"/>
      <c r="G416" s="43">
        <f>G417+G418+G419</f>
        <v>6900</v>
      </c>
      <c r="I416" s="43">
        <f>I417+I418+I419</f>
        <v>10000</v>
      </c>
      <c r="K416" s="43">
        <f>K417+K418+K419</f>
        <v>10085</v>
      </c>
      <c r="L416" s="56"/>
      <c r="M416" s="43">
        <f>M417+M418+M419</f>
        <v>14585</v>
      </c>
      <c r="N416" s="56"/>
      <c r="O416" s="73">
        <f>O417+O418+O419</f>
        <v>14585</v>
      </c>
      <c r="Q416" s="73">
        <f>Q417+Q418+Q419</f>
        <v>14585</v>
      </c>
    </row>
    <row r="417" spans="1:17" ht="29.25" customHeight="1" x14ac:dyDescent="0.25">
      <c r="A417" s="42" t="s">
        <v>401</v>
      </c>
      <c r="B417" s="38"/>
      <c r="C417" s="38" t="s">
        <v>24</v>
      </c>
      <c r="D417" s="38" t="s">
        <v>63</v>
      </c>
      <c r="E417" s="38" t="s">
        <v>305</v>
      </c>
      <c r="F417" s="38" t="s">
        <v>210</v>
      </c>
      <c r="G417" s="43">
        <f>1500</f>
        <v>1500</v>
      </c>
      <c r="H417" s="56">
        <v>1000</v>
      </c>
      <c r="I417" s="43">
        <f>G417+H417</f>
        <v>2500</v>
      </c>
      <c r="J417" s="56">
        <v>85</v>
      </c>
      <c r="K417" s="43">
        <f>I417+J417</f>
        <v>2585</v>
      </c>
      <c r="L417" s="56"/>
      <c r="M417" s="43">
        <f>K417+L417</f>
        <v>2585</v>
      </c>
      <c r="N417" s="56"/>
      <c r="O417" s="73">
        <f>M417+N417</f>
        <v>2585</v>
      </c>
      <c r="Q417" s="73">
        <f>O417+P417</f>
        <v>2585</v>
      </c>
    </row>
    <row r="418" spans="1:17" ht="31.5" x14ac:dyDescent="0.25">
      <c r="A418" s="42" t="s">
        <v>402</v>
      </c>
      <c r="B418" s="38"/>
      <c r="C418" s="38" t="s">
        <v>24</v>
      </c>
      <c r="D418" s="38" t="s">
        <v>63</v>
      </c>
      <c r="E418" s="38" t="s">
        <v>305</v>
      </c>
      <c r="F418" s="38" t="s">
        <v>210</v>
      </c>
      <c r="G418" s="43">
        <f>2100</f>
        <v>2100</v>
      </c>
      <c r="H418" s="56">
        <v>2100</v>
      </c>
      <c r="I418" s="43">
        <f>G418+H418</f>
        <v>4200</v>
      </c>
      <c r="J418" s="56">
        <f>-2100+900</f>
        <v>-1200</v>
      </c>
      <c r="K418" s="43">
        <f>I418+J418</f>
        <v>3000</v>
      </c>
      <c r="L418" s="56"/>
      <c r="M418" s="43">
        <f>K418+L418</f>
        <v>3000</v>
      </c>
      <c r="N418" s="56"/>
      <c r="O418" s="73">
        <f>M418+N418</f>
        <v>3000</v>
      </c>
      <c r="Q418" s="73">
        <f>O418+P418</f>
        <v>3000</v>
      </c>
    </row>
    <row r="419" spans="1:17" ht="31.5" x14ac:dyDescent="0.25">
      <c r="A419" s="42" t="s">
        <v>403</v>
      </c>
      <c r="B419" s="38"/>
      <c r="C419" s="38" t="s">
        <v>24</v>
      </c>
      <c r="D419" s="38" t="s">
        <v>63</v>
      </c>
      <c r="E419" s="38" t="s">
        <v>305</v>
      </c>
      <c r="F419" s="38" t="s">
        <v>210</v>
      </c>
      <c r="G419" s="43">
        <v>3300</v>
      </c>
      <c r="I419" s="43">
        <f>G419+H419</f>
        <v>3300</v>
      </c>
      <c r="J419" s="56">
        <v>1200</v>
      </c>
      <c r="K419" s="43">
        <f>I419+J419</f>
        <v>4500</v>
      </c>
      <c r="L419" s="56">
        <v>4500</v>
      </c>
      <c r="M419" s="43">
        <f>K419+L419</f>
        <v>9000</v>
      </c>
      <c r="N419" s="56"/>
      <c r="O419" s="73">
        <f>M419+N419</f>
        <v>9000</v>
      </c>
      <c r="Q419" s="73">
        <f>O419+P419</f>
        <v>9000</v>
      </c>
    </row>
    <row r="420" spans="1:17" x14ac:dyDescent="0.25">
      <c r="A420" s="40" t="s">
        <v>220</v>
      </c>
      <c r="B420" s="35"/>
      <c r="C420" s="35" t="s">
        <v>24</v>
      </c>
      <c r="D420" s="35" t="s">
        <v>98</v>
      </c>
      <c r="E420" s="35"/>
      <c r="F420" s="35"/>
      <c r="G420" s="43">
        <f>G421</f>
        <v>3000</v>
      </c>
      <c r="I420" s="43">
        <f>I421</f>
        <v>3000</v>
      </c>
      <c r="K420" s="43">
        <f>K421</f>
        <v>3000</v>
      </c>
      <c r="L420" s="56"/>
      <c r="M420" s="43">
        <f>M421</f>
        <v>3000</v>
      </c>
      <c r="N420" s="56"/>
      <c r="O420" s="73">
        <f>O421</f>
        <v>79264.34</v>
      </c>
      <c r="Q420" s="73">
        <f>Q421</f>
        <v>79264.34</v>
      </c>
    </row>
    <row r="421" spans="1:17" ht="43.5" customHeight="1" x14ac:dyDescent="0.25">
      <c r="A421" s="42" t="s">
        <v>583</v>
      </c>
      <c r="B421" s="38"/>
      <c r="C421" s="38" t="s">
        <v>24</v>
      </c>
      <c r="D421" s="38" t="s">
        <v>98</v>
      </c>
      <c r="E421" s="38"/>
      <c r="F421" s="38"/>
      <c r="G421" s="43">
        <f>G424</f>
        <v>3000</v>
      </c>
      <c r="I421" s="43">
        <f>I424</f>
        <v>3000</v>
      </c>
      <c r="K421" s="43">
        <f>K424</f>
        <v>3000</v>
      </c>
      <c r="L421" s="56"/>
      <c r="M421" s="43">
        <f>M424</f>
        <v>3000</v>
      </c>
      <c r="N421" s="56"/>
      <c r="O421" s="73">
        <f>O422+O423+O424</f>
        <v>79264.34</v>
      </c>
      <c r="Q421" s="73">
        <f>Q422+Q423+Q424</f>
        <v>79264.34</v>
      </c>
    </row>
    <row r="422" spans="1:17" ht="45.75" customHeight="1" x14ac:dyDescent="0.25">
      <c r="A422" s="42" t="s">
        <v>584</v>
      </c>
      <c r="B422" s="38"/>
      <c r="C422" s="38" t="s">
        <v>24</v>
      </c>
      <c r="D422" s="38" t="s">
        <v>98</v>
      </c>
      <c r="E422" s="38" t="s">
        <v>529</v>
      </c>
      <c r="F422" s="38" t="s">
        <v>301</v>
      </c>
      <c r="G422" s="43"/>
      <c r="I422" s="43"/>
      <c r="K422" s="43"/>
      <c r="L422" s="56"/>
      <c r="M422" s="43"/>
      <c r="N422" s="56">
        <f>29119.1+19287.72</f>
        <v>48406.82</v>
      </c>
      <c r="O422" s="73">
        <f t="shared" ref="O422:Q423" si="9">M422+N422</f>
        <v>48406.82</v>
      </c>
      <c r="Q422" s="73">
        <f t="shared" si="9"/>
        <v>48406.82</v>
      </c>
    </row>
    <row r="423" spans="1:17" ht="45.75" customHeight="1" x14ac:dyDescent="0.25">
      <c r="A423" s="42" t="s">
        <v>585</v>
      </c>
      <c r="B423" s="38"/>
      <c r="C423" s="38" t="s">
        <v>24</v>
      </c>
      <c r="D423" s="38" t="s">
        <v>98</v>
      </c>
      <c r="E423" s="38" t="s">
        <v>529</v>
      </c>
      <c r="F423" s="38" t="s">
        <v>301</v>
      </c>
      <c r="G423" s="43"/>
      <c r="I423" s="43"/>
      <c r="K423" s="43"/>
      <c r="L423" s="56"/>
      <c r="M423" s="43"/>
      <c r="N423" s="56">
        <f>16617.4+11240.12</f>
        <v>27857.520000000004</v>
      </c>
      <c r="O423" s="73">
        <f t="shared" si="9"/>
        <v>27857.520000000004</v>
      </c>
      <c r="Q423" s="73">
        <f t="shared" si="9"/>
        <v>27857.520000000004</v>
      </c>
    </row>
    <row r="424" spans="1:17" ht="31.5" x14ac:dyDescent="0.25">
      <c r="A424" s="42" t="s">
        <v>404</v>
      </c>
      <c r="B424" s="38"/>
      <c r="C424" s="38" t="s">
        <v>24</v>
      </c>
      <c r="D424" s="38" t="s">
        <v>98</v>
      </c>
      <c r="E424" s="38" t="s">
        <v>405</v>
      </c>
      <c r="F424" s="38" t="s">
        <v>301</v>
      </c>
      <c r="G424" s="43">
        <v>3000</v>
      </c>
      <c r="I424" s="43">
        <f>G424+H424</f>
        <v>3000</v>
      </c>
      <c r="K424" s="43">
        <f>I424+J424</f>
        <v>3000</v>
      </c>
      <c r="L424" s="56"/>
      <c r="M424" s="43">
        <f>K424+L424</f>
        <v>3000</v>
      </c>
      <c r="N424" s="56"/>
      <c r="O424" s="73">
        <f>M424+N424</f>
        <v>3000</v>
      </c>
      <c r="Q424" s="73">
        <f>O424+P424</f>
        <v>3000</v>
      </c>
    </row>
    <row r="425" spans="1:17" x14ac:dyDescent="0.25">
      <c r="A425" s="34" t="s">
        <v>166</v>
      </c>
      <c r="B425" s="35"/>
      <c r="C425" s="35" t="s">
        <v>24</v>
      </c>
      <c r="D425" s="35" t="s">
        <v>27</v>
      </c>
      <c r="E425" s="35"/>
      <c r="F425" s="35"/>
      <c r="G425" s="44">
        <f>G426+G435</f>
        <v>4591.3999999999996</v>
      </c>
      <c r="H425" s="57"/>
      <c r="I425" s="44">
        <f>I426+I435</f>
        <v>5746.6</v>
      </c>
      <c r="J425" s="57"/>
      <c r="K425" s="44">
        <f>K426+K435</f>
        <v>5746.6</v>
      </c>
      <c r="L425" s="56"/>
      <c r="M425" s="44">
        <f>M426+M433+M435</f>
        <v>8248.61</v>
      </c>
      <c r="N425" s="56"/>
      <c r="O425" s="72">
        <f>O426+O433+O435</f>
        <v>8248.61</v>
      </c>
      <c r="Q425" s="72">
        <f>Q426+Q433+Q435</f>
        <v>8248.61</v>
      </c>
    </row>
    <row r="426" spans="1:17" ht="16.5" customHeight="1" x14ac:dyDescent="0.25">
      <c r="A426" s="19" t="s">
        <v>36</v>
      </c>
      <c r="B426" s="38"/>
      <c r="C426" s="38" t="s">
        <v>24</v>
      </c>
      <c r="D426" s="38" t="s">
        <v>27</v>
      </c>
      <c r="E426" s="38" t="s">
        <v>297</v>
      </c>
      <c r="F426" s="38"/>
      <c r="G426" s="43">
        <f>G427</f>
        <v>3534.6</v>
      </c>
      <c r="I426" s="43">
        <f>I427</f>
        <v>3534.6</v>
      </c>
      <c r="K426" s="43">
        <f>K427</f>
        <v>3534.6</v>
      </c>
      <c r="L426" s="56"/>
      <c r="M426" s="43">
        <f>M427</f>
        <v>3534.6</v>
      </c>
      <c r="N426" s="56"/>
      <c r="O426" s="73">
        <f>O427</f>
        <v>3534.6</v>
      </c>
      <c r="Q426" s="73">
        <f>Q427</f>
        <v>3534.6</v>
      </c>
    </row>
    <row r="427" spans="1:17" x14ac:dyDescent="0.25">
      <c r="A427" s="39" t="s">
        <v>52</v>
      </c>
      <c r="B427" s="38"/>
      <c r="C427" s="38" t="s">
        <v>24</v>
      </c>
      <c r="D427" s="38" t="s">
        <v>27</v>
      </c>
      <c r="E427" s="38" t="s">
        <v>298</v>
      </c>
      <c r="F427" s="38"/>
      <c r="G427" s="43">
        <f>SUM(G428:G432)</f>
        <v>3534.6</v>
      </c>
      <c r="I427" s="43">
        <f>SUM(I428:I432)</f>
        <v>3534.6</v>
      </c>
      <c r="K427" s="43">
        <f>SUM(K428:K432)</f>
        <v>3534.6</v>
      </c>
      <c r="L427" s="56"/>
      <c r="M427" s="43">
        <f>SUM(M428:M432)</f>
        <v>3534.6</v>
      </c>
      <c r="N427" s="56"/>
      <c r="O427" s="73">
        <f>SUM(O428:O432)</f>
        <v>3534.6</v>
      </c>
      <c r="Q427" s="73">
        <f>SUM(Q428:Q432)</f>
        <v>3534.6</v>
      </c>
    </row>
    <row r="428" spans="1:17" x14ac:dyDescent="0.25">
      <c r="A428" s="19" t="s">
        <v>204</v>
      </c>
      <c r="B428" s="38"/>
      <c r="C428" s="38" t="s">
        <v>24</v>
      </c>
      <c r="D428" s="38" t="s">
        <v>27</v>
      </c>
      <c r="E428" s="38" t="s">
        <v>298</v>
      </c>
      <c r="F428" s="38" t="s">
        <v>394</v>
      </c>
      <c r="G428" s="43">
        <f>2314.5+699</f>
        <v>3013.5</v>
      </c>
      <c r="I428" s="43">
        <f>G428+H428</f>
        <v>3013.5</v>
      </c>
      <c r="K428" s="43">
        <f>I428+J428</f>
        <v>3013.5</v>
      </c>
      <c r="L428" s="56"/>
      <c r="M428" s="43">
        <f>K428+L428</f>
        <v>3013.5</v>
      </c>
      <c r="N428" s="56"/>
      <c r="O428" s="73">
        <f>M428+N428</f>
        <v>3013.5</v>
      </c>
      <c r="Q428" s="73">
        <f>O428+P428</f>
        <v>3013.5</v>
      </c>
    </row>
    <row r="429" spans="1:17" x14ac:dyDescent="0.25">
      <c r="A429" s="19" t="s">
        <v>206</v>
      </c>
      <c r="B429" s="38"/>
      <c r="C429" s="38" t="s">
        <v>24</v>
      </c>
      <c r="D429" s="38" t="s">
        <v>27</v>
      </c>
      <c r="E429" s="38" t="s">
        <v>298</v>
      </c>
      <c r="F429" s="38" t="s">
        <v>395</v>
      </c>
      <c r="G429" s="43">
        <v>116.6</v>
      </c>
      <c r="I429" s="43">
        <f>G429+H429</f>
        <v>116.6</v>
      </c>
      <c r="K429" s="43">
        <f>I429+J429</f>
        <v>116.6</v>
      </c>
      <c r="L429" s="56"/>
      <c r="M429" s="43">
        <f>K429+L429</f>
        <v>116.6</v>
      </c>
      <c r="N429" s="56"/>
      <c r="O429" s="73">
        <f>M429+N429</f>
        <v>116.6</v>
      </c>
      <c r="Q429" s="73">
        <f>O429+P429</f>
        <v>116.6</v>
      </c>
    </row>
    <row r="430" spans="1:17" ht="16.5" customHeight="1" x14ac:dyDescent="0.25">
      <c r="A430" s="19" t="s">
        <v>208</v>
      </c>
      <c r="B430" s="38"/>
      <c r="C430" s="38" t="s">
        <v>24</v>
      </c>
      <c r="D430" s="38" t="s">
        <v>27</v>
      </c>
      <c r="E430" s="38" t="s">
        <v>298</v>
      </c>
      <c r="F430" s="38" t="s">
        <v>209</v>
      </c>
      <c r="G430" s="43">
        <f>22</f>
        <v>22</v>
      </c>
      <c r="I430" s="43">
        <f>G430+H430</f>
        <v>22</v>
      </c>
      <c r="K430" s="43">
        <f>I430+J430</f>
        <v>22</v>
      </c>
      <c r="L430" s="56"/>
      <c r="M430" s="43">
        <f>K430+L430</f>
        <v>22</v>
      </c>
      <c r="N430" s="56"/>
      <c r="O430" s="73">
        <f>M430+N430</f>
        <v>22</v>
      </c>
      <c r="Q430" s="73">
        <f>O430+P430</f>
        <v>22</v>
      </c>
    </row>
    <row r="431" spans="1:17" x14ac:dyDescent="0.25">
      <c r="A431" s="41" t="s">
        <v>224</v>
      </c>
      <c r="B431" s="38"/>
      <c r="C431" s="38" t="s">
        <v>24</v>
      </c>
      <c r="D431" s="38" t="s">
        <v>27</v>
      </c>
      <c r="E431" s="38" t="s">
        <v>298</v>
      </c>
      <c r="F431" s="38" t="s">
        <v>210</v>
      </c>
      <c r="G431" s="43">
        <f>9+27+147.7+82+16+93.8</f>
        <v>375.5</v>
      </c>
      <c r="I431" s="43">
        <f>G431+H431</f>
        <v>375.5</v>
      </c>
      <c r="K431" s="43">
        <f>I431+J431</f>
        <v>375.5</v>
      </c>
      <c r="L431" s="56"/>
      <c r="M431" s="43">
        <f>K431+L431</f>
        <v>375.5</v>
      </c>
      <c r="N431" s="56"/>
      <c r="O431" s="73">
        <f>M431+N431</f>
        <v>375.5</v>
      </c>
      <c r="Q431" s="73">
        <f>O431+P431</f>
        <v>375.5</v>
      </c>
    </row>
    <row r="432" spans="1:17" x14ac:dyDescent="0.25">
      <c r="A432" s="39" t="s">
        <v>300</v>
      </c>
      <c r="B432" s="38"/>
      <c r="C432" s="38" t="s">
        <v>24</v>
      </c>
      <c r="D432" s="38" t="s">
        <v>27</v>
      </c>
      <c r="E432" s="38" t="s">
        <v>298</v>
      </c>
      <c r="F432" s="38" t="s">
        <v>299</v>
      </c>
      <c r="G432" s="43">
        <f>6+1</f>
        <v>7</v>
      </c>
      <c r="I432" s="43">
        <f>G432+H432</f>
        <v>7</v>
      </c>
      <c r="K432" s="43">
        <f>I432+J432</f>
        <v>7</v>
      </c>
      <c r="L432" s="56"/>
      <c r="M432" s="43">
        <f>K432+L432</f>
        <v>7</v>
      </c>
      <c r="N432" s="56"/>
      <c r="O432" s="73">
        <f>M432+N432</f>
        <v>7</v>
      </c>
      <c r="Q432" s="73">
        <f>O432+P432</f>
        <v>7</v>
      </c>
    </row>
    <row r="433" spans="1:17" ht="31.5" x14ac:dyDescent="0.25">
      <c r="A433" s="19" t="s">
        <v>520</v>
      </c>
      <c r="B433" s="38"/>
      <c r="C433" s="38" t="s">
        <v>24</v>
      </c>
      <c r="D433" s="38" t="s">
        <v>27</v>
      </c>
      <c r="E433" s="38" t="s">
        <v>519</v>
      </c>
      <c r="F433" s="38"/>
      <c r="G433" s="43"/>
      <c r="I433" s="43"/>
      <c r="K433" s="43"/>
      <c r="L433" s="56"/>
      <c r="M433" s="43">
        <f>M434</f>
        <v>3690.51</v>
      </c>
      <c r="N433" s="56"/>
      <c r="O433" s="73">
        <f>O434</f>
        <v>3690.51</v>
      </c>
      <c r="Q433" s="73">
        <f>Q434</f>
        <v>3690.51</v>
      </c>
    </row>
    <row r="434" spans="1:17" x14ac:dyDescent="0.25">
      <c r="A434" s="41" t="s">
        <v>224</v>
      </c>
      <c r="B434" s="38"/>
      <c r="C434" s="38" t="s">
        <v>24</v>
      </c>
      <c r="D434" s="38" t="s">
        <v>27</v>
      </c>
      <c r="E434" s="38" t="s">
        <v>519</v>
      </c>
      <c r="F434" s="38" t="s">
        <v>210</v>
      </c>
      <c r="G434" s="43"/>
      <c r="I434" s="43"/>
      <c r="K434" s="43"/>
      <c r="L434" s="56">
        <v>3690.51</v>
      </c>
      <c r="M434" s="43">
        <f>K434+L434</f>
        <v>3690.51</v>
      </c>
      <c r="N434" s="56"/>
      <c r="O434" s="73">
        <f>M434+N434</f>
        <v>3690.51</v>
      </c>
      <c r="Q434" s="73">
        <f>O434+P434</f>
        <v>3690.51</v>
      </c>
    </row>
    <row r="435" spans="1:17" x14ac:dyDescent="0.25">
      <c r="A435" s="19" t="s">
        <v>525</v>
      </c>
      <c r="B435" s="38"/>
      <c r="C435" s="38" t="s">
        <v>24</v>
      </c>
      <c r="D435" s="38" t="s">
        <v>27</v>
      </c>
      <c r="E435" s="38" t="s">
        <v>283</v>
      </c>
      <c r="F435" s="38"/>
      <c r="G435" s="43">
        <f>G436+G440+G442+G444</f>
        <v>1056.8000000000002</v>
      </c>
      <c r="I435" s="43">
        <f>I436+I440+I442+I444</f>
        <v>2212</v>
      </c>
      <c r="K435" s="43">
        <f>K436+K440+K442+K444</f>
        <v>2212</v>
      </c>
      <c r="L435" s="56"/>
      <c r="M435" s="43">
        <f>M436+M440+M442+M444+M446+M438</f>
        <v>1023.5</v>
      </c>
      <c r="N435" s="56"/>
      <c r="O435" s="73">
        <f>O436+O440+O442+O444+O446+O438</f>
        <v>1023.5</v>
      </c>
      <c r="Q435" s="73">
        <f>Q436+Q440+Q442+Q444+Q446+Q438</f>
        <v>1023.5</v>
      </c>
    </row>
    <row r="436" spans="1:17" ht="18.75" hidden="1" customHeight="1" x14ac:dyDescent="0.25">
      <c r="A436" s="19" t="s">
        <v>406</v>
      </c>
      <c r="B436" s="38"/>
      <c r="C436" s="38" t="s">
        <v>24</v>
      </c>
      <c r="D436" s="38" t="s">
        <v>27</v>
      </c>
      <c r="E436" s="38" t="s">
        <v>408</v>
      </c>
      <c r="F436" s="38"/>
      <c r="G436" s="43">
        <f>G437</f>
        <v>232.6</v>
      </c>
      <c r="I436" s="43">
        <f>I437</f>
        <v>465.2</v>
      </c>
      <c r="K436" s="43">
        <f>K437</f>
        <v>465.2</v>
      </c>
      <c r="L436" s="56"/>
      <c r="M436" s="43">
        <f>M437</f>
        <v>0</v>
      </c>
      <c r="N436" s="56"/>
      <c r="O436" s="73">
        <f>O437</f>
        <v>0</v>
      </c>
      <c r="Q436" s="73">
        <f>Q437</f>
        <v>0</v>
      </c>
    </row>
    <row r="437" spans="1:17" ht="29.25" hidden="1" customHeight="1" x14ac:dyDescent="0.25">
      <c r="A437" s="41" t="s">
        <v>404</v>
      </c>
      <c r="B437" s="38"/>
      <c r="C437" s="38" t="s">
        <v>24</v>
      </c>
      <c r="D437" s="38" t="s">
        <v>27</v>
      </c>
      <c r="E437" s="38" t="s">
        <v>408</v>
      </c>
      <c r="F437" s="38" t="s">
        <v>301</v>
      </c>
      <c r="G437" s="43">
        <f>232.6</f>
        <v>232.6</v>
      </c>
      <c r="H437" s="56">
        <v>232.6</v>
      </c>
      <c r="I437" s="43">
        <f>G437+H437</f>
        <v>465.2</v>
      </c>
      <c r="K437" s="43">
        <f>I437+J437</f>
        <v>465.2</v>
      </c>
      <c r="L437" s="56">
        <v>-465.2</v>
      </c>
      <c r="M437" s="43">
        <f>K437+L437</f>
        <v>0</v>
      </c>
      <c r="N437" s="56"/>
      <c r="O437" s="73">
        <f>M437+N437</f>
        <v>0</v>
      </c>
      <c r="Q437" s="73">
        <f>O437+P437</f>
        <v>0</v>
      </c>
    </row>
    <row r="438" spans="1:17" ht="29.25" customHeight="1" x14ac:dyDescent="0.25">
      <c r="A438" s="19" t="s">
        <v>534</v>
      </c>
      <c r="B438" s="38"/>
      <c r="C438" s="38" t="s">
        <v>24</v>
      </c>
      <c r="D438" s="38" t="s">
        <v>27</v>
      </c>
      <c r="E438" s="38" t="s">
        <v>588</v>
      </c>
      <c r="F438" s="38"/>
      <c r="G438" s="43"/>
      <c r="I438" s="43"/>
      <c r="K438" s="43"/>
      <c r="L438" s="56"/>
      <c r="M438" s="43">
        <f>M439</f>
        <v>16.53</v>
      </c>
      <c r="N438" s="56"/>
      <c r="O438" s="73">
        <f>O439</f>
        <v>16.53</v>
      </c>
      <c r="Q438" s="73">
        <f>Q439</f>
        <v>16.53</v>
      </c>
    </row>
    <row r="439" spans="1:17" ht="29.25" customHeight="1" x14ac:dyDescent="0.25">
      <c r="A439" s="41" t="s">
        <v>535</v>
      </c>
      <c r="B439" s="38"/>
      <c r="C439" s="38" t="s">
        <v>24</v>
      </c>
      <c r="D439" s="38" t="s">
        <v>27</v>
      </c>
      <c r="E439" s="38" t="s">
        <v>588</v>
      </c>
      <c r="F439" s="38" t="s">
        <v>301</v>
      </c>
      <c r="G439" s="43"/>
      <c r="I439" s="43"/>
      <c r="K439" s="43"/>
      <c r="L439" s="56">
        <v>16.53</v>
      </c>
      <c r="M439" s="43">
        <f>K439+L439</f>
        <v>16.53</v>
      </c>
      <c r="N439" s="56"/>
      <c r="O439" s="73">
        <f>M439+N439</f>
        <v>16.53</v>
      </c>
      <c r="Q439" s="73">
        <f>O439+P439</f>
        <v>16.53</v>
      </c>
    </row>
    <row r="440" spans="1:17" ht="19.5" hidden="1" customHeight="1" x14ac:dyDescent="0.25">
      <c r="A440" s="19" t="s">
        <v>407</v>
      </c>
      <c r="B440" s="38"/>
      <c r="C440" s="38" t="s">
        <v>24</v>
      </c>
      <c r="D440" s="38" t="s">
        <v>27</v>
      </c>
      <c r="E440" s="38" t="s">
        <v>533</v>
      </c>
      <c r="F440" s="38"/>
      <c r="G440" s="43">
        <f>G441</f>
        <v>316.60000000000002</v>
      </c>
      <c r="I440" s="43">
        <f>I441</f>
        <v>633.20000000000005</v>
      </c>
      <c r="K440" s="43">
        <f>K441</f>
        <v>633.20000000000005</v>
      </c>
      <c r="L440" s="56"/>
      <c r="M440" s="43">
        <f>M441</f>
        <v>0</v>
      </c>
      <c r="N440" s="56"/>
      <c r="O440" s="73">
        <f>O441</f>
        <v>0</v>
      </c>
      <c r="Q440" s="73">
        <f>Q441</f>
        <v>0</v>
      </c>
    </row>
    <row r="441" spans="1:17" ht="29.25" hidden="1" customHeight="1" x14ac:dyDescent="0.25">
      <c r="A441" s="41" t="s">
        <v>404</v>
      </c>
      <c r="B441" s="38"/>
      <c r="C441" s="38" t="s">
        <v>24</v>
      </c>
      <c r="D441" s="38" t="s">
        <v>27</v>
      </c>
      <c r="E441" s="38" t="s">
        <v>533</v>
      </c>
      <c r="F441" s="38" t="s">
        <v>301</v>
      </c>
      <c r="G441" s="43">
        <f>316.6</f>
        <v>316.60000000000002</v>
      </c>
      <c r="H441" s="56">
        <v>316.60000000000002</v>
      </c>
      <c r="I441" s="43">
        <f>G441+H441</f>
        <v>633.20000000000005</v>
      </c>
      <c r="K441" s="43">
        <f>I441+J441</f>
        <v>633.20000000000005</v>
      </c>
      <c r="L441" s="56">
        <v>-633.20000000000005</v>
      </c>
      <c r="M441" s="43">
        <f>K441+L441</f>
        <v>0</v>
      </c>
      <c r="N441" s="56"/>
      <c r="O441" s="73">
        <f>M441+N441</f>
        <v>0</v>
      </c>
      <c r="Q441" s="73">
        <f>O441+P441</f>
        <v>0</v>
      </c>
    </row>
    <row r="442" spans="1:17" ht="77.25" hidden="1" customHeight="1" x14ac:dyDescent="0.25">
      <c r="A442" s="50" t="s">
        <v>410</v>
      </c>
      <c r="B442" s="38"/>
      <c r="C442" s="38" t="s">
        <v>24</v>
      </c>
      <c r="D442" s="38" t="s">
        <v>27</v>
      </c>
      <c r="E442" s="38" t="s">
        <v>411</v>
      </c>
      <c r="F442" s="38"/>
      <c r="G442" s="43">
        <f>G443</f>
        <v>7.6</v>
      </c>
      <c r="I442" s="43">
        <f>I443</f>
        <v>113.6</v>
      </c>
      <c r="K442" s="43">
        <f>K443</f>
        <v>113.6</v>
      </c>
      <c r="L442" s="56"/>
      <c r="M442" s="43">
        <f>M443</f>
        <v>0</v>
      </c>
      <c r="N442" s="56"/>
      <c r="O442" s="73">
        <f>O443</f>
        <v>0</v>
      </c>
      <c r="Q442" s="73">
        <f>Q443</f>
        <v>0</v>
      </c>
    </row>
    <row r="443" spans="1:17" ht="18.75" hidden="1" customHeight="1" x14ac:dyDescent="0.25">
      <c r="A443" s="41" t="s">
        <v>415</v>
      </c>
      <c r="B443" s="38"/>
      <c r="C443" s="38" t="s">
        <v>24</v>
      </c>
      <c r="D443" s="38" t="s">
        <v>27</v>
      </c>
      <c r="E443" s="38" t="s">
        <v>411</v>
      </c>
      <c r="F443" s="38" t="s">
        <v>301</v>
      </c>
      <c r="G443" s="43">
        <f>7.6</f>
        <v>7.6</v>
      </c>
      <c r="H443" s="56">
        <f>49.2+56.8</f>
        <v>106</v>
      </c>
      <c r="I443" s="43">
        <f>G443+H443</f>
        <v>113.6</v>
      </c>
      <c r="K443" s="43">
        <f>I443+J443</f>
        <v>113.6</v>
      </c>
      <c r="L443" s="56">
        <v>-113.6</v>
      </c>
      <c r="M443" s="43">
        <f>K443+L443</f>
        <v>0</v>
      </c>
      <c r="N443" s="56"/>
      <c r="O443" s="73">
        <f>M443+N443</f>
        <v>0</v>
      </c>
      <c r="Q443" s="73">
        <f>O443+P443</f>
        <v>0</v>
      </c>
    </row>
    <row r="444" spans="1:17" ht="15" customHeight="1" x14ac:dyDescent="0.25">
      <c r="A444" s="19" t="s">
        <v>412</v>
      </c>
      <c r="B444" s="38"/>
      <c r="C444" s="38" t="s">
        <v>24</v>
      </c>
      <c r="D444" s="38" t="s">
        <v>27</v>
      </c>
      <c r="E444" s="38" t="s">
        <v>413</v>
      </c>
      <c r="F444" s="38"/>
      <c r="G444" s="43">
        <f>G445</f>
        <v>500</v>
      </c>
      <c r="I444" s="43">
        <f>I445</f>
        <v>1000</v>
      </c>
      <c r="K444" s="43">
        <f>K445</f>
        <v>1000</v>
      </c>
      <c r="L444" s="56"/>
      <c r="M444" s="43">
        <f>M445</f>
        <v>983.47</v>
      </c>
      <c r="N444" s="56"/>
      <c r="O444" s="73">
        <f>O445</f>
        <v>983.47</v>
      </c>
      <c r="Q444" s="73">
        <f>Q445</f>
        <v>983.47</v>
      </c>
    </row>
    <row r="445" spans="1:17" ht="18" customHeight="1" x14ac:dyDescent="0.25">
      <c r="A445" s="41" t="s">
        <v>302</v>
      </c>
      <c r="B445" s="38"/>
      <c r="C445" s="38" t="s">
        <v>24</v>
      </c>
      <c r="D445" s="38" t="s">
        <v>27</v>
      </c>
      <c r="E445" s="38" t="s">
        <v>413</v>
      </c>
      <c r="F445" s="38" t="s">
        <v>301</v>
      </c>
      <c r="G445" s="43">
        <f>500</f>
        <v>500</v>
      </c>
      <c r="H445" s="56">
        <v>500</v>
      </c>
      <c r="I445" s="43">
        <f>G445+H445</f>
        <v>1000</v>
      </c>
      <c r="K445" s="43">
        <f>I445+J445</f>
        <v>1000</v>
      </c>
      <c r="L445" s="56">
        <v>-16.53</v>
      </c>
      <c r="M445" s="43">
        <f>K445+L445</f>
        <v>983.47</v>
      </c>
      <c r="N445" s="56"/>
      <c r="O445" s="73">
        <f>M445+N445</f>
        <v>983.47</v>
      </c>
      <c r="Q445" s="73">
        <f>O445+P445</f>
        <v>983.47</v>
      </c>
    </row>
    <row r="446" spans="1:17" ht="29.25" customHeight="1" x14ac:dyDescent="0.25">
      <c r="A446" s="1" t="s">
        <v>355</v>
      </c>
      <c r="B446" s="38"/>
      <c r="C446" s="38" t="s">
        <v>24</v>
      </c>
      <c r="D446" s="38" t="s">
        <v>27</v>
      </c>
      <c r="E446" s="38" t="s">
        <v>309</v>
      </c>
      <c r="F446" s="38"/>
      <c r="G446" s="43"/>
      <c r="I446" s="43"/>
      <c r="K446" s="43"/>
      <c r="L446" s="56"/>
      <c r="M446" s="43">
        <f>M447</f>
        <v>23.5</v>
      </c>
      <c r="N446" s="56"/>
      <c r="O446" s="73">
        <f>O447</f>
        <v>23.5</v>
      </c>
      <c r="Q446" s="73">
        <f>Q447</f>
        <v>23.5</v>
      </c>
    </row>
    <row r="447" spans="1:17" ht="16.5" customHeight="1" x14ac:dyDescent="0.25">
      <c r="A447" s="41" t="s">
        <v>224</v>
      </c>
      <c r="B447" s="38"/>
      <c r="C447" s="38" t="s">
        <v>24</v>
      </c>
      <c r="D447" s="38" t="s">
        <v>27</v>
      </c>
      <c r="E447" s="38" t="s">
        <v>309</v>
      </c>
      <c r="F447" s="38" t="s">
        <v>210</v>
      </c>
      <c r="G447" s="43"/>
      <c r="I447" s="43"/>
      <c r="K447" s="43"/>
      <c r="L447" s="56">
        <v>23.5</v>
      </c>
      <c r="M447" s="43">
        <f>K447+L447</f>
        <v>23.5</v>
      </c>
      <c r="N447" s="56"/>
      <c r="O447" s="73">
        <f>M447+N447</f>
        <v>23.5</v>
      </c>
      <c r="Q447" s="73">
        <f>O447+P447</f>
        <v>23.5</v>
      </c>
    </row>
    <row r="448" spans="1:17" x14ac:dyDescent="0.25">
      <c r="A448" s="29" t="s">
        <v>45</v>
      </c>
      <c r="B448" s="38"/>
      <c r="C448" s="35" t="s">
        <v>46</v>
      </c>
      <c r="D448" s="35"/>
      <c r="E448" s="35"/>
      <c r="F448" s="35"/>
      <c r="G448" s="44">
        <f>G449+G453</f>
        <v>10000</v>
      </c>
      <c r="H448" s="57"/>
      <c r="I448" s="44">
        <f>I449+I453</f>
        <v>10300</v>
      </c>
      <c r="J448" s="57"/>
      <c r="K448" s="44">
        <f>K449+K453</f>
        <v>5000</v>
      </c>
      <c r="L448" s="57"/>
      <c r="M448" s="44">
        <f>M449+M453+M480</f>
        <v>33076.049999999996</v>
      </c>
      <c r="N448" s="57"/>
      <c r="O448" s="72">
        <f>O449+O453+O480</f>
        <v>33633.49</v>
      </c>
      <c r="Q448" s="72">
        <f>Q449+Q453+Q480</f>
        <v>33633.49</v>
      </c>
    </row>
    <row r="449" spans="1:17" hidden="1" x14ac:dyDescent="0.25">
      <c r="A449" s="29" t="s">
        <v>418</v>
      </c>
      <c r="B449" s="38"/>
      <c r="C449" s="35" t="s">
        <v>46</v>
      </c>
      <c r="D449" s="35" t="s">
        <v>15</v>
      </c>
      <c r="E449" s="35"/>
      <c r="F449" s="35"/>
      <c r="G449" s="44">
        <f>G450+G452</f>
        <v>5000</v>
      </c>
      <c r="H449" s="57"/>
      <c r="I449" s="44">
        <f>I450+I452</f>
        <v>5300</v>
      </c>
      <c r="J449" s="57"/>
      <c r="K449" s="44">
        <f>K450+K452</f>
        <v>0</v>
      </c>
      <c r="L449" s="57"/>
      <c r="M449" s="44">
        <f>M450+M452</f>
        <v>0</v>
      </c>
      <c r="N449" s="57"/>
      <c r="O449" s="72">
        <f>O450+O452</f>
        <v>0</v>
      </c>
      <c r="Q449" s="72">
        <f>Q450+Q452</f>
        <v>0</v>
      </c>
    </row>
    <row r="450" spans="1:17" ht="30" hidden="1" x14ac:dyDescent="0.25">
      <c r="A450" s="51" t="s">
        <v>419</v>
      </c>
      <c r="B450" s="38"/>
      <c r="C450" s="38" t="s">
        <v>46</v>
      </c>
      <c r="D450" s="38" t="s">
        <v>15</v>
      </c>
      <c r="E450" s="38" t="s">
        <v>420</v>
      </c>
      <c r="F450" s="38"/>
      <c r="G450" s="43">
        <f>G451</f>
        <v>5000</v>
      </c>
      <c r="I450" s="43">
        <f>I451</f>
        <v>5000</v>
      </c>
      <c r="K450" s="43">
        <f>K451</f>
        <v>0</v>
      </c>
      <c r="L450" s="56"/>
      <c r="M450" s="43">
        <f>M451</f>
        <v>0</v>
      </c>
      <c r="N450" s="56"/>
      <c r="O450" s="73">
        <f>O451</f>
        <v>0</v>
      </c>
      <c r="Q450" s="73">
        <f>Q451</f>
        <v>0</v>
      </c>
    </row>
    <row r="451" spans="1:17" hidden="1" x14ac:dyDescent="0.25">
      <c r="A451" s="41" t="s">
        <v>224</v>
      </c>
      <c r="B451" s="38"/>
      <c r="C451" s="38" t="s">
        <v>46</v>
      </c>
      <c r="D451" s="38" t="s">
        <v>15</v>
      </c>
      <c r="E451" s="38" t="s">
        <v>420</v>
      </c>
      <c r="F451" s="38" t="s">
        <v>210</v>
      </c>
      <c r="G451" s="43">
        <f>5000+2500-2500</f>
        <v>5000</v>
      </c>
      <c r="I451" s="43">
        <f>G451+H451</f>
        <v>5000</v>
      </c>
      <c r="J451" s="56">
        <v>-5000</v>
      </c>
      <c r="K451" s="43">
        <f>I451+J451</f>
        <v>0</v>
      </c>
      <c r="L451" s="56"/>
      <c r="M451" s="43">
        <f>K451+L451</f>
        <v>0</v>
      </c>
      <c r="N451" s="56"/>
      <c r="O451" s="73">
        <f>M451+N451</f>
        <v>0</v>
      </c>
      <c r="Q451" s="73">
        <f>O451+P451</f>
        <v>0</v>
      </c>
    </row>
    <row r="452" spans="1:17" hidden="1" x14ac:dyDescent="0.25">
      <c r="A452" s="41" t="s">
        <v>224</v>
      </c>
      <c r="B452" s="38"/>
      <c r="C452" s="38" t="s">
        <v>46</v>
      </c>
      <c r="D452" s="38" t="s">
        <v>15</v>
      </c>
      <c r="E452" s="38" t="s">
        <v>442</v>
      </c>
      <c r="F452" s="38" t="s">
        <v>210</v>
      </c>
      <c r="G452" s="43"/>
      <c r="H452" s="56">
        <v>300</v>
      </c>
      <c r="I452" s="43">
        <f>G452+H452</f>
        <v>300</v>
      </c>
      <c r="J452" s="56">
        <v>-300</v>
      </c>
      <c r="K452" s="43">
        <f>I452+J452</f>
        <v>0</v>
      </c>
      <c r="L452" s="56"/>
      <c r="M452" s="43">
        <f>K452+L452</f>
        <v>0</v>
      </c>
      <c r="N452" s="56"/>
      <c r="O452" s="73">
        <f>M452+N452</f>
        <v>0</v>
      </c>
      <c r="Q452" s="73">
        <f>O452+P452</f>
        <v>0</v>
      </c>
    </row>
    <row r="453" spans="1:17" x14ac:dyDescent="0.25">
      <c r="A453" s="10" t="s">
        <v>47</v>
      </c>
      <c r="B453" s="38"/>
      <c r="C453" s="35" t="s">
        <v>46</v>
      </c>
      <c r="D453" s="35" t="s">
        <v>17</v>
      </c>
      <c r="E453" s="35"/>
      <c r="F453" s="35"/>
      <c r="G453" s="44">
        <f>G474+G476+G478</f>
        <v>5000</v>
      </c>
      <c r="H453" s="57"/>
      <c r="I453" s="44">
        <f>I474+I476+I478</f>
        <v>5000</v>
      </c>
      <c r="J453" s="57"/>
      <c r="K453" s="44">
        <f>K474+K476+K478</f>
        <v>5000</v>
      </c>
      <c r="L453" s="57"/>
      <c r="M453" s="44">
        <f>M474+M476+M478+M460+M462+M464+M468+M470+M472+M466</f>
        <v>32922.649999999994</v>
      </c>
      <c r="N453" s="57"/>
      <c r="O453" s="72">
        <f>O474+O476+O478+O460+O462+O464+O468+O470+O472+O466+O454+O458</f>
        <v>33493.089999999997</v>
      </c>
      <c r="Q453" s="72">
        <f>Q474+Q476+Q478+Q460+Q462+Q464+Q468+Q470+Q472+Q466+Q454+Q458</f>
        <v>33493.089999999997</v>
      </c>
    </row>
    <row r="454" spans="1:17" ht="16.5" customHeight="1" x14ac:dyDescent="0.25">
      <c r="A454" s="24" t="s">
        <v>589</v>
      </c>
      <c r="B454" s="38"/>
      <c r="C454" s="38" t="s">
        <v>46</v>
      </c>
      <c r="D454" s="38" t="s">
        <v>17</v>
      </c>
      <c r="E454" s="38" t="s">
        <v>529</v>
      </c>
      <c r="F454" s="38"/>
      <c r="G454" s="43"/>
      <c r="I454" s="43"/>
      <c r="K454" s="43"/>
      <c r="L454" s="56"/>
      <c r="M454" s="43"/>
      <c r="N454" s="56"/>
      <c r="O454" s="73">
        <f>O455</f>
        <v>257.45999999999998</v>
      </c>
      <c r="Q454" s="73">
        <f>Q455</f>
        <v>257.45999999999998</v>
      </c>
    </row>
    <row r="455" spans="1:17" x14ac:dyDescent="0.25">
      <c r="A455" s="41" t="s">
        <v>302</v>
      </c>
      <c r="B455" s="38"/>
      <c r="C455" s="38" t="s">
        <v>46</v>
      </c>
      <c r="D455" s="38" t="s">
        <v>17</v>
      </c>
      <c r="E455" s="38" t="s">
        <v>529</v>
      </c>
      <c r="F455" s="38" t="s">
        <v>301</v>
      </c>
      <c r="G455" s="43"/>
      <c r="I455" s="43"/>
      <c r="K455" s="43"/>
      <c r="L455" s="56"/>
      <c r="M455" s="43"/>
      <c r="N455" s="56">
        <v>257.45999999999998</v>
      </c>
      <c r="O455" s="73">
        <f>M455+N455</f>
        <v>257.45999999999998</v>
      </c>
      <c r="Q455" s="73">
        <f>O455+P455</f>
        <v>257.45999999999998</v>
      </c>
    </row>
    <row r="456" spans="1:17" ht="15" customHeight="1" x14ac:dyDescent="0.25">
      <c r="A456" s="20" t="s">
        <v>341</v>
      </c>
      <c r="B456" s="38"/>
      <c r="C456" s="38" t="s">
        <v>46</v>
      </c>
      <c r="D456" s="38" t="s">
        <v>17</v>
      </c>
      <c r="E456" s="38" t="s">
        <v>340</v>
      </c>
      <c r="F456" s="38"/>
      <c r="G456" s="43"/>
      <c r="I456" s="43"/>
      <c r="K456" s="43"/>
      <c r="L456" s="56"/>
      <c r="M456" s="43"/>
      <c r="N456" s="56"/>
      <c r="O456" s="73"/>
      <c r="Q456" s="73"/>
    </row>
    <row r="457" spans="1:17" x14ac:dyDescent="0.25">
      <c r="A457" s="41" t="s">
        <v>224</v>
      </c>
      <c r="B457" s="38"/>
      <c r="C457" s="38" t="s">
        <v>46</v>
      </c>
      <c r="D457" s="38" t="s">
        <v>17</v>
      </c>
      <c r="E457" s="38" t="s">
        <v>340</v>
      </c>
      <c r="F457" s="38" t="s">
        <v>210</v>
      </c>
      <c r="G457" s="43"/>
      <c r="I457" s="43">
        <f>G457+H457</f>
        <v>0</v>
      </c>
      <c r="K457" s="43">
        <f>I457+J457</f>
        <v>0</v>
      </c>
      <c r="L457" s="56"/>
      <c r="M457" s="43">
        <f>K457+L457</f>
        <v>0</v>
      </c>
      <c r="N457" s="56"/>
      <c r="O457" s="73">
        <f>M457+N457</f>
        <v>0</v>
      </c>
      <c r="Q457" s="73">
        <f>O457+P457</f>
        <v>0</v>
      </c>
    </row>
    <row r="458" spans="1:17" ht="15.75" customHeight="1" x14ac:dyDescent="0.25">
      <c r="A458" s="41" t="s">
        <v>527</v>
      </c>
      <c r="B458" s="38"/>
      <c r="C458" s="38" t="s">
        <v>46</v>
      </c>
      <c r="D458" s="38" t="s">
        <v>17</v>
      </c>
      <c r="E458" s="38" t="s">
        <v>590</v>
      </c>
      <c r="F458" s="38"/>
      <c r="G458" s="43"/>
      <c r="I458" s="43"/>
      <c r="K458" s="43"/>
      <c r="L458" s="56"/>
      <c r="M458" s="43"/>
      <c r="N458" s="56"/>
      <c r="O458" s="73">
        <f>O459</f>
        <v>379.15</v>
      </c>
      <c r="Q458" s="73">
        <f>Q459</f>
        <v>379.15</v>
      </c>
    </row>
    <row r="459" spans="1:17" x14ac:dyDescent="0.25">
      <c r="A459" s="41" t="s">
        <v>302</v>
      </c>
      <c r="B459" s="38"/>
      <c r="C459" s="38" t="s">
        <v>46</v>
      </c>
      <c r="D459" s="38" t="s">
        <v>17</v>
      </c>
      <c r="E459" s="38" t="s">
        <v>590</v>
      </c>
      <c r="F459" s="38" t="s">
        <v>301</v>
      </c>
      <c r="G459" s="43"/>
      <c r="I459" s="43"/>
      <c r="K459" s="43"/>
      <c r="L459" s="56"/>
      <c r="M459" s="43"/>
      <c r="N459" s="56">
        <f>379.15</f>
        <v>379.15</v>
      </c>
      <c r="O459" s="73">
        <f>M459+N459</f>
        <v>379.15</v>
      </c>
      <c r="Q459" s="73">
        <f>O459+P459</f>
        <v>379.15</v>
      </c>
    </row>
    <row r="460" spans="1:17" ht="17.25" customHeight="1" x14ac:dyDescent="0.25">
      <c r="A460" s="41" t="s">
        <v>548</v>
      </c>
      <c r="B460" s="38"/>
      <c r="C460" s="38" t="s">
        <v>46</v>
      </c>
      <c r="D460" s="38" t="s">
        <v>17</v>
      </c>
      <c r="E460" s="38" t="s">
        <v>521</v>
      </c>
      <c r="F460" s="38"/>
      <c r="G460" s="43"/>
      <c r="I460" s="43"/>
      <c r="K460" s="43"/>
      <c r="L460" s="56"/>
      <c r="M460" s="43">
        <f>M461</f>
        <v>100.2</v>
      </c>
      <c r="N460" s="56"/>
      <c r="O460" s="73">
        <f>O461</f>
        <v>100.2</v>
      </c>
      <c r="Q460" s="73">
        <f>Q461</f>
        <v>100.2</v>
      </c>
    </row>
    <row r="461" spans="1:17" x14ac:dyDescent="0.25">
      <c r="A461" s="41" t="s">
        <v>302</v>
      </c>
      <c r="B461" s="38"/>
      <c r="C461" s="38" t="s">
        <v>46</v>
      </c>
      <c r="D461" s="38" t="s">
        <v>17</v>
      </c>
      <c r="E461" s="38" t="s">
        <v>521</v>
      </c>
      <c r="F461" s="38" t="s">
        <v>301</v>
      </c>
      <c r="G461" s="43"/>
      <c r="I461" s="43"/>
      <c r="K461" s="43"/>
      <c r="L461" s="56">
        <v>100.2</v>
      </c>
      <c r="M461" s="43">
        <f>K461+L461</f>
        <v>100.2</v>
      </c>
      <c r="N461" s="56"/>
      <c r="O461" s="73">
        <f>M461+N461</f>
        <v>100.2</v>
      </c>
      <c r="Q461" s="73">
        <f>O461+P461</f>
        <v>100.2</v>
      </c>
    </row>
    <row r="462" spans="1:17" x14ac:dyDescent="0.25">
      <c r="A462" s="41" t="s">
        <v>549</v>
      </c>
      <c r="B462" s="38"/>
      <c r="C462" s="38" t="s">
        <v>46</v>
      </c>
      <c r="D462" s="38" t="s">
        <v>17</v>
      </c>
      <c r="E462" s="38" t="s">
        <v>522</v>
      </c>
      <c r="F462" s="38"/>
      <c r="G462" s="43"/>
      <c r="I462" s="43"/>
      <c r="K462" s="43"/>
      <c r="L462" s="56"/>
      <c r="M462" s="43">
        <f>M463</f>
        <v>271.19</v>
      </c>
      <c r="N462" s="56"/>
      <c r="O462" s="73">
        <f>O463</f>
        <v>271.19</v>
      </c>
      <c r="Q462" s="73">
        <f>Q463</f>
        <v>271.19</v>
      </c>
    </row>
    <row r="463" spans="1:17" x14ac:dyDescent="0.25">
      <c r="A463" s="41" t="s">
        <v>302</v>
      </c>
      <c r="B463" s="38"/>
      <c r="C463" s="38" t="s">
        <v>46</v>
      </c>
      <c r="D463" s="38" t="s">
        <v>17</v>
      </c>
      <c r="E463" s="38" t="s">
        <v>522</v>
      </c>
      <c r="F463" s="38" t="s">
        <v>301</v>
      </c>
      <c r="G463" s="43"/>
      <c r="I463" s="43"/>
      <c r="K463" s="43"/>
      <c r="L463" s="56">
        <v>271.19</v>
      </c>
      <c r="M463" s="43">
        <f>K463+L463</f>
        <v>271.19</v>
      </c>
      <c r="N463" s="56"/>
      <c r="O463" s="73">
        <f>M463+N463</f>
        <v>271.19</v>
      </c>
      <c r="Q463" s="73">
        <f>O463+P463</f>
        <v>271.19</v>
      </c>
    </row>
    <row r="464" spans="1:17" x14ac:dyDescent="0.25">
      <c r="A464" s="41" t="s">
        <v>524</v>
      </c>
      <c r="B464" s="38"/>
      <c r="C464" s="38" t="s">
        <v>46</v>
      </c>
      <c r="D464" s="38" t="s">
        <v>17</v>
      </c>
      <c r="E464" s="38" t="s">
        <v>523</v>
      </c>
      <c r="F464" s="38"/>
      <c r="G464" s="43"/>
      <c r="I464" s="43"/>
      <c r="K464" s="43"/>
      <c r="L464" s="56"/>
      <c r="M464" s="43">
        <f>M465</f>
        <v>329.16</v>
      </c>
      <c r="N464" s="56"/>
      <c r="O464" s="73">
        <f>O465</f>
        <v>329.16</v>
      </c>
      <c r="Q464" s="73">
        <f>Q465</f>
        <v>329.16</v>
      </c>
    </row>
    <row r="465" spans="1:17" x14ac:dyDescent="0.25">
      <c r="A465" s="41" t="s">
        <v>302</v>
      </c>
      <c r="B465" s="38"/>
      <c r="C465" s="38" t="s">
        <v>46</v>
      </c>
      <c r="D465" s="38" t="s">
        <v>17</v>
      </c>
      <c r="E465" s="38" t="s">
        <v>523</v>
      </c>
      <c r="F465" s="38" t="s">
        <v>301</v>
      </c>
      <c r="G465" s="43"/>
      <c r="I465" s="43"/>
      <c r="K465" s="43"/>
      <c r="L465" s="56">
        <v>329.16</v>
      </c>
      <c r="M465" s="43">
        <f>K465+L465</f>
        <v>329.16</v>
      </c>
      <c r="N465" s="56"/>
      <c r="O465" s="73">
        <f>M465+N465</f>
        <v>329.16</v>
      </c>
      <c r="Q465" s="73">
        <f>O465+P465</f>
        <v>329.16</v>
      </c>
    </row>
    <row r="466" spans="1:17" ht="15.75" customHeight="1" x14ac:dyDescent="0.25">
      <c r="A466" s="41" t="s">
        <v>527</v>
      </c>
      <c r="B466" s="38"/>
      <c r="C466" s="38" t="s">
        <v>46</v>
      </c>
      <c r="D466" s="38" t="s">
        <v>17</v>
      </c>
      <c r="E466" s="38" t="s">
        <v>526</v>
      </c>
      <c r="F466" s="38"/>
      <c r="G466" s="43"/>
      <c r="I466" s="43"/>
      <c r="K466" s="43"/>
      <c r="L466" s="56"/>
      <c r="M466" s="43">
        <f>M467</f>
        <v>400</v>
      </c>
      <c r="N466" s="56"/>
      <c r="O466" s="73">
        <f>O467</f>
        <v>400</v>
      </c>
      <c r="Q466" s="73">
        <f>Q467</f>
        <v>400</v>
      </c>
    </row>
    <row r="467" spans="1:17" x14ac:dyDescent="0.25">
      <c r="A467" s="41" t="s">
        <v>302</v>
      </c>
      <c r="B467" s="38"/>
      <c r="C467" s="38" t="s">
        <v>46</v>
      </c>
      <c r="D467" s="38" t="s">
        <v>17</v>
      </c>
      <c r="E467" s="38" t="s">
        <v>526</v>
      </c>
      <c r="F467" s="38" t="s">
        <v>301</v>
      </c>
      <c r="G467" s="43"/>
      <c r="I467" s="43"/>
      <c r="K467" s="43"/>
      <c r="L467" s="56">
        <v>400</v>
      </c>
      <c r="M467" s="43">
        <f>K467+L467</f>
        <v>400</v>
      </c>
      <c r="N467" s="56"/>
      <c r="O467" s="73">
        <f>M467+N467</f>
        <v>400</v>
      </c>
      <c r="Q467" s="73">
        <f>O467+P467</f>
        <v>400</v>
      </c>
    </row>
    <row r="468" spans="1:17" x14ac:dyDescent="0.25">
      <c r="A468" s="19" t="s">
        <v>406</v>
      </c>
      <c r="B468" s="38"/>
      <c r="C468" s="38" t="s">
        <v>46</v>
      </c>
      <c r="D468" s="38" t="s">
        <v>17</v>
      </c>
      <c r="E468" s="38" t="s">
        <v>408</v>
      </c>
      <c r="F468" s="38"/>
      <c r="G468" s="43"/>
      <c r="I468" s="43"/>
      <c r="K468" s="43"/>
      <c r="L468" s="56"/>
      <c r="M468" s="43">
        <f>M469</f>
        <v>465.2</v>
      </c>
      <c r="N468" s="56"/>
      <c r="O468" s="73">
        <f>O469</f>
        <v>465.2</v>
      </c>
      <c r="Q468" s="73">
        <f>Q469</f>
        <v>465.2</v>
      </c>
    </row>
    <row r="469" spans="1:17" ht="15.75" customHeight="1" x14ac:dyDescent="0.25">
      <c r="A469" s="19" t="s">
        <v>302</v>
      </c>
      <c r="B469" s="38"/>
      <c r="C469" s="38" t="s">
        <v>46</v>
      </c>
      <c r="D469" s="38" t="s">
        <v>17</v>
      </c>
      <c r="E469" s="38" t="s">
        <v>408</v>
      </c>
      <c r="F469" s="38" t="s">
        <v>301</v>
      </c>
      <c r="G469" s="43"/>
      <c r="I469" s="43"/>
      <c r="K469" s="43"/>
      <c r="L469" s="56">
        <v>465.2</v>
      </c>
      <c r="M469" s="43">
        <f>K469+L469</f>
        <v>465.2</v>
      </c>
      <c r="N469" s="56"/>
      <c r="O469" s="73">
        <f>M469+N469</f>
        <v>465.2</v>
      </c>
      <c r="Q469" s="73">
        <f>O469+P469</f>
        <v>465.2</v>
      </c>
    </row>
    <row r="470" spans="1:17" x14ac:dyDescent="0.25">
      <c r="A470" s="19" t="s">
        <v>407</v>
      </c>
      <c r="B470" s="38"/>
      <c r="C470" s="38" t="s">
        <v>46</v>
      </c>
      <c r="D470" s="38" t="s">
        <v>17</v>
      </c>
      <c r="E470" s="38" t="s">
        <v>533</v>
      </c>
      <c r="F470" s="38"/>
      <c r="G470" s="43"/>
      <c r="I470" s="43"/>
      <c r="K470" s="43"/>
      <c r="L470" s="56"/>
      <c r="M470" s="43">
        <f>M471</f>
        <v>633.20000000000005</v>
      </c>
      <c r="N470" s="56"/>
      <c r="O470" s="73">
        <f>O471</f>
        <v>519.97</v>
      </c>
      <c r="Q470" s="73">
        <f>Q471</f>
        <v>519.97</v>
      </c>
    </row>
    <row r="471" spans="1:17" ht="15.75" customHeight="1" x14ac:dyDescent="0.25">
      <c r="A471" s="19" t="s">
        <v>302</v>
      </c>
      <c r="B471" s="38"/>
      <c r="C471" s="38" t="s">
        <v>46</v>
      </c>
      <c r="D471" s="38" t="s">
        <v>17</v>
      </c>
      <c r="E471" s="38" t="s">
        <v>409</v>
      </c>
      <c r="F471" s="38" t="s">
        <v>301</v>
      </c>
      <c r="G471" s="43"/>
      <c r="I471" s="43"/>
      <c r="K471" s="43"/>
      <c r="L471" s="56">
        <v>633.20000000000005</v>
      </c>
      <c r="M471" s="43">
        <f>K471+L471</f>
        <v>633.20000000000005</v>
      </c>
      <c r="N471" s="56">
        <v>-113.23</v>
      </c>
      <c r="O471" s="73">
        <f>M471+N471</f>
        <v>519.97</v>
      </c>
      <c r="Q471" s="73">
        <f>O471+P471</f>
        <v>519.97</v>
      </c>
    </row>
    <row r="472" spans="1:17" ht="62.25" customHeight="1" x14ac:dyDescent="0.25">
      <c r="A472" s="19" t="s">
        <v>410</v>
      </c>
      <c r="B472" s="38"/>
      <c r="C472" s="38" t="s">
        <v>46</v>
      </c>
      <c r="D472" s="38" t="s">
        <v>17</v>
      </c>
      <c r="E472" s="38" t="s">
        <v>411</v>
      </c>
      <c r="F472" s="38"/>
      <c r="G472" s="43"/>
      <c r="I472" s="43"/>
      <c r="K472" s="43"/>
      <c r="L472" s="56"/>
      <c r="M472" s="43">
        <f>M473</f>
        <v>113.6</v>
      </c>
      <c r="N472" s="56"/>
      <c r="O472" s="73">
        <f>O473</f>
        <v>113.6</v>
      </c>
      <c r="Q472" s="73">
        <f>Q473</f>
        <v>113.6</v>
      </c>
    </row>
    <row r="473" spans="1:17" ht="16.5" customHeight="1" x14ac:dyDescent="0.25">
      <c r="A473" s="19" t="s">
        <v>302</v>
      </c>
      <c r="B473" s="38"/>
      <c r="C473" s="38" t="s">
        <v>46</v>
      </c>
      <c r="D473" s="38" t="s">
        <v>17</v>
      </c>
      <c r="E473" s="38" t="s">
        <v>411</v>
      </c>
      <c r="F473" s="38" t="s">
        <v>301</v>
      </c>
      <c r="G473" s="43"/>
      <c r="I473" s="43"/>
      <c r="K473" s="43"/>
      <c r="L473" s="56">
        <v>113.6</v>
      </c>
      <c r="M473" s="43">
        <f>L473+K473</f>
        <v>113.6</v>
      </c>
      <c r="N473" s="56"/>
      <c r="O473" s="73">
        <f>N473+M473</f>
        <v>113.6</v>
      </c>
      <c r="Q473" s="73">
        <f>P473+O473</f>
        <v>113.6</v>
      </c>
    </row>
    <row r="474" spans="1:17" ht="30" customHeight="1" x14ac:dyDescent="0.25">
      <c r="A474" s="19" t="s">
        <v>416</v>
      </c>
      <c r="B474" s="38"/>
      <c r="C474" s="38" t="s">
        <v>46</v>
      </c>
      <c r="D474" s="38" t="s">
        <v>17</v>
      </c>
      <c r="E474" s="38" t="s">
        <v>417</v>
      </c>
      <c r="F474" s="38"/>
      <c r="G474" s="43">
        <f>G475</f>
        <v>5000</v>
      </c>
      <c r="I474" s="43">
        <f>I475</f>
        <v>5000</v>
      </c>
      <c r="K474" s="43">
        <f>K475</f>
        <v>5000</v>
      </c>
      <c r="L474" s="56"/>
      <c r="M474" s="43">
        <f>M475</f>
        <v>30610.1</v>
      </c>
      <c r="N474" s="56"/>
      <c r="O474" s="73">
        <f>O475</f>
        <v>30657.16</v>
      </c>
      <c r="Q474" s="73">
        <f>Q475</f>
        <v>30657.16</v>
      </c>
    </row>
    <row r="475" spans="1:17" ht="18.75" customHeight="1" x14ac:dyDescent="0.25">
      <c r="A475" s="19" t="s">
        <v>302</v>
      </c>
      <c r="B475" s="38"/>
      <c r="C475" s="38" t="s">
        <v>46</v>
      </c>
      <c r="D475" s="38" t="s">
        <v>17</v>
      </c>
      <c r="E475" s="38" t="s">
        <v>417</v>
      </c>
      <c r="F475" s="38" t="s">
        <v>301</v>
      </c>
      <c r="G475" s="43">
        <v>5000</v>
      </c>
      <c r="I475" s="43">
        <f>G475+H475</f>
        <v>5000</v>
      </c>
      <c r="K475" s="43">
        <f>I475+J475</f>
        <v>5000</v>
      </c>
      <c r="L475" s="56">
        <v>25610.1</v>
      </c>
      <c r="M475" s="43">
        <f>K475+L475</f>
        <v>30610.1</v>
      </c>
      <c r="N475" s="56">
        <f>-234.34+281.4</f>
        <v>47.059999999999974</v>
      </c>
      <c r="O475" s="73">
        <f>M475+N475</f>
        <v>30657.16</v>
      </c>
      <c r="Q475" s="73">
        <f>O475+P475</f>
        <v>30657.16</v>
      </c>
    </row>
    <row r="476" spans="1:17" ht="32.25" hidden="1" customHeight="1" x14ac:dyDescent="0.25">
      <c r="A476" s="19" t="s">
        <v>350</v>
      </c>
      <c r="B476" s="38"/>
      <c r="C476" s="38" t="s">
        <v>46</v>
      </c>
      <c r="D476" s="38" t="s">
        <v>17</v>
      </c>
      <c r="E476" s="38" t="s">
        <v>347</v>
      </c>
      <c r="F476" s="38"/>
      <c r="G476" s="43">
        <f>G477</f>
        <v>0</v>
      </c>
      <c r="I476" s="43">
        <f>I477</f>
        <v>0</v>
      </c>
      <c r="K476" s="43">
        <f>K477</f>
        <v>0</v>
      </c>
      <c r="L476" s="56"/>
      <c r="M476" s="43">
        <f>M477</f>
        <v>0</v>
      </c>
      <c r="N476" s="56"/>
      <c r="O476" s="73">
        <f>O477</f>
        <v>0</v>
      </c>
      <c r="Q476" s="73">
        <f>Q477</f>
        <v>0</v>
      </c>
    </row>
    <row r="477" spans="1:17" ht="33.75" hidden="1" customHeight="1" x14ac:dyDescent="0.25">
      <c r="A477" s="19" t="s">
        <v>302</v>
      </c>
      <c r="B477" s="38"/>
      <c r="C477" s="38" t="s">
        <v>46</v>
      </c>
      <c r="D477" s="38" t="s">
        <v>17</v>
      </c>
      <c r="E477" s="38" t="s">
        <v>347</v>
      </c>
      <c r="F477" s="38" t="s">
        <v>301</v>
      </c>
      <c r="G477" s="43"/>
      <c r="I477" s="43">
        <f>G477+H477</f>
        <v>0</v>
      </c>
      <c r="K477" s="43">
        <f>I477+J477</f>
        <v>0</v>
      </c>
      <c r="L477" s="56"/>
      <c r="M477" s="43">
        <f>K477+L477</f>
        <v>0</v>
      </c>
      <c r="N477" s="56"/>
      <c r="O477" s="73">
        <f>M477+N477</f>
        <v>0</v>
      </c>
      <c r="Q477" s="73">
        <f>O477+P477</f>
        <v>0</v>
      </c>
    </row>
    <row r="478" spans="1:17" ht="30" hidden="1" customHeight="1" x14ac:dyDescent="0.25">
      <c r="A478" s="19" t="s">
        <v>351</v>
      </c>
      <c r="B478" s="38"/>
      <c r="C478" s="38" t="s">
        <v>46</v>
      </c>
      <c r="D478" s="38" t="s">
        <v>17</v>
      </c>
      <c r="E478" s="38" t="s">
        <v>349</v>
      </c>
      <c r="F478" s="38"/>
      <c r="G478" s="43">
        <f>G479</f>
        <v>0</v>
      </c>
      <c r="I478" s="43">
        <f>I479</f>
        <v>0</v>
      </c>
      <c r="K478" s="43">
        <f>K479</f>
        <v>0</v>
      </c>
      <c r="L478" s="56"/>
      <c r="M478" s="43">
        <f>M479</f>
        <v>0</v>
      </c>
      <c r="N478" s="56"/>
      <c r="O478" s="73">
        <f>O479</f>
        <v>0</v>
      </c>
      <c r="Q478" s="73">
        <f>Q479</f>
        <v>0</v>
      </c>
    </row>
    <row r="479" spans="1:17" ht="33.75" hidden="1" customHeight="1" x14ac:dyDescent="0.25">
      <c r="A479" s="19" t="s">
        <v>302</v>
      </c>
      <c r="B479" s="38"/>
      <c r="C479" s="38" t="s">
        <v>46</v>
      </c>
      <c r="D479" s="38" t="s">
        <v>17</v>
      </c>
      <c r="E479" s="38" t="s">
        <v>349</v>
      </c>
      <c r="F479" s="38" t="s">
        <v>301</v>
      </c>
      <c r="G479" s="43"/>
      <c r="I479" s="43">
        <f>G479+H479</f>
        <v>0</v>
      </c>
      <c r="K479" s="43">
        <f>I479+J479</f>
        <v>0</v>
      </c>
      <c r="L479" s="56"/>
      <c r="M479" s="43">
        <f>K479+L479</f>
        <v>0</v>
      </c>
      <c r="N479" s="56"/>
      <c r="O479" s="73">
        <f>M479+N479</f>
        <v>0</v>
      </c>
      <c r="Q479" s="73">
        <f>O479+P479</f>
        <v>0</v>
      </c>
    </row>
    <row r="480" spans="1:17" ht="16.5" customHeight="1" x14ac:dyDescent="0.25">
      <c r="A480" s="40" t="s">
        <v>48</v>
      </c>
      <c r="B480" s="35"/>
      <c r="C480" s="35" t="s">
        <v>46</v>
      </c>
      <c r="D480" s="35" t="s">
        <v>20</v>
      </c>
      <c r="E480" s="35"/>
      <c r="F480" s="35"/>
      <c r="G480" s="44"/>
      <c r="H480" s="57"/>
      <c r="I480" s="44"/>
      <c r="J480" s="57"/>
      <c r="K480" s="44"/>
      <c r="L480" s="57"/>
      <c r="M480" s="44">
        <f>M481</f>
        <v>153.4</v>
      </c>
      <c r="N480" s="57"/>
      <c r="O480" s="72">
        <f>O481</f>
        <v>140.4</v>
      </c>
      <c r="Q480" s="72">
        <f>Q481</f>
        <v>140.4</v>
      </c>
    </row>
    <row r="481" spans="1:17" ht="15.75" customHeight="1" x14ac:dyDescent="0.25">
      <c r="A481" s="19" t="s">
        <v>49</v>
      </c>
      <c r="B481" s="38"/>
      <c r="C481" s="38" t="s">
        <v>46</v>
      </c>
      <c r="D481" s="38" t="s">
        <v>20</v>
      </c>
      <c r="E481" s="38" t="s">
        <v>476</v>
      </c>
      <c r="F481" s="38"/>
      <c r="G481" s="43"/>
      <c r="I481" s="43"/>
      <c r="K481" s="43"/>
      <c r="L481" s="56"/>
      <c r="M481" s="43">
        <f>M482</f>
        <v>153.4</v>
      </c>
      <c r="N481" s="56"/>
      <c r="O481" s="73">
        <f>O482</f>
        <v>140.4</v>
      </c>
      <c r="Q481" s="73">
        <f>Q482</f>
        <v>140.4</v>
      </c>
    </row>
    <row r="482" spans="1:17" ht="16.5" customHeight="1" x14ac:dyDescent="0.25">
      <c r="A482" s="41" t="s">
        <v>224</v>
      </c>
      <c r="B482" s="38"/>
      <c r="C482" s="38" t="s">
        <v>46</v>
      </c>
      <c r="D482" s="38" t="s">
        <v>20</v>
      </c>
      <c r="E482" s="38" t="s">
        <v>476</v>
      </c>
      <c r="F482" s="38" t="s">
        <v>210</v>
      </c>
      <c r="G482" s="43"/>
      <c r="I482" s="43"/>
      <c r="K482" s="43"/>
      <c r="L482" s="56">
        <f>54.23+99.17</f>
        <v>153.4</v>
      </c>
      <c r="M482" s="43">
        <f>K482+L482</f>
        <v>153.4</v>
      </c>
      <c r="N482" s="56">
        <v>-13</v>
      </c>
      <c r="O482" s="73">
        <f>M482+N482</f>
        <v>140.4</v>
      </c>
      <c r="Q482" s="73">
        <f>O482+P482</f>
        <v>140.4</v>
      </c>
    </row>
    <row r="483" spans="1:17" x14ac:dyDescent="0.25">
      <c r="A483" s="40" t="s">
        <v>55</v>
      </c>
      <c r="B483" s="38"/>
      <c r="C483" s="35" t="s">
        <v>56</v>
      </c>
      <c r="D483" s="35"/>
      <c r="E483" s="35"/>
      <c r="F483" s="35"/>
      <c r="G483" s="44">
        <f>G484</f>
        <v>1000</v>
      </c>
      <c r="H483" s="57"/>
      <c r="I483" s="44">
        <f>I484</f>
        <v>1000</v>
      </c>
      <c r="J483" s="57"/>
      <c r="K483" s="44">
        <f>K484</f>
        <v>1000</v>
      </c>
      <c r="L483" s="57"/>
      <c r="M483" s="44">
        <f>M484+M493</f>
        <v>31229.65</v>
      </c>
      <c r="N483" s="57"/>
      <c r="O483" s="72">
        <f>O484+O493</f>
        <v>135794.96</v>
      </c>
      <c r="Q483" s="72">
        <f>Q484+Q493</f>
        <v>135794.96</v>
      </c>
    </row>
    <row r="484" spans="1:17" ht="17.25" customHeight="1" x14ac:dyDescent="0.25">
      <c r="A484" s="40" t="s">
        <v>57</v>
      </c>
      <c r="B484" s="38"/>
      <c r="C484" s="35" t="s">
        <v>56</v>
      </c>
      <c r="D484" s="35" t="s">
        <v>15</v>
      </c>
      <c r="E484" s="35"/>
      <c r="F484" s="35"/>
      <c r="G484" s="44">
        <f>G489+G491</f>
        <v>1000</v>
      </c>
      <c r="H484" s="57"/>
      <c r="I484" s="44">
        <f>I489+I491</f>
        <v>1000</v>
      </c>
      <c r="J484" s="57"/>
      <c r="K484" s="44">
        <f>K489+K491</f>
        <v>1000</v>
      </c>
      <c r="L484" s="57"/>
      <c r="M484" s="44">
        <f>M489+M491+M487+M485</f>
        <v>25422</v>
      </c>
      <c r="N484" s="57"/>
      <c r="O484" s="72">
        <f>O489+O491+O487+O485</f>
        <v>129861.1</v>
      </c>
      <c r="Q484" s="72">
        <f>Q489+Q491+Q487+Q485</f>
        <v>129861.1</v>
      </c>
    </row>
    <row r="485" spans="1:17" ht="33" customHeight="1" x14ac:dyDescent="0.25">
      <c r="A485" s="42" t="s">
        <v>414</v>
      </c>
      <c r="B485" s="38"/>
      <c r="C485" s="38" t="s">
        <v>56</v>
      </c>
      <c r="D485" s="38" t="s">
        <v>15</v>
      </c>
      <c r="E485" s="38" t="s">
        <v>529</v>
      </c>
      <c r="F485" s="38"/>
      <c r="G485" s="43"/>
      <c r="I485" s="43"/>
      <c r="K485" s="43"/>
      <c r="L485" s="56"/>
      <c r="M485" s="43">
        <f>M486</f>
        <v>18422</v>
      </c>
      <c r="N485" s="56"/>
      <c r="O485" s="73">
        <f>O486</f>
        <v>122861.1</v>
      </c>
      <c r="Q485" s="73">
        <f>Q486</f>
        <v>122861.1</v>
      </c>
    </row>
    <row r="486" spans="1:17" ht="18.75" customHeight="1" x14ac:dyDescent="0.25">
      <c r="A486" s="41" t="s">
        <v>302</v>
      </c>
      <c r="B486" s="38"/>
      <c r="C486" s="38" t="s">
        <v>56</v>
      </c>
      <c r="D486" s="38" t="s">
        <v>15</v>
      </c>
      <c r="E486" s="38" t="s">
        <v>529</v>
      </c>
      <c r="F486" s="38"/>
      <c r="G486" s="43"/>
      <c r="I486" s="43"/>
      <c r="K486" s="43"/>
      <c r="L486" s="56">
        <v>18422</v>
      </c>
      <c r="M486" s="43">
        <f>K486+L486</f>
        <v>18422</v>
      </c>
      <c r="N486" s="56">
        <v>104439.1</v>
      </c>
      <c r="O486" s="73">
        <f>M486+N486</f>
        <v>122861.1</v>
      </c>
      <c r="Q486" s="73">
        <f>O486+P486</f>
        <v>122861.1</v>
      </c>
    </row>
    <row r="487" spans="1:17" ht="30.75" customHeight="1" x14ac:dyDescent="0.25">
      <c r="A487" s="42" t="s">
        <v>414</v>
      </c>
      <c r="B487" s="38"/>
      <c r="C487" s="38" t="s">
        <v>56</v>
      </c>
      <c r="D487" s="38" t="s">
        <v>15</v>
      </c>
      <c r="E487" s="38" t="s">
        <v>528</v>
      </c>
      <c r="F487" s="38"/>
      <c r="G487" s="43"/>
      <c r="I487" s="43"/>
      <c r="K487" s="43"/>
      <c r="L487" s="56"/>
      <c r="M487" s="43">
        <f>M488</f>
        <v>6000</v>
      </c>
      <c r="N487" s="56"/>
      <c r="O487" s="73">
        <f>O488</f>
        <v>6000</v>
      </c>
      <c r="Q487" s="73">
        <f>Q488</f>
        <v>6000</v>
      </c>
    </row>
    <row r="488" spans="1:17" ht="18.75" customHeight="1" x14ac:dyDescent="0.25">
      <c r="A488" s="41" t="s">
        <v>302</v>
      </c>
      <c r="B488" s="38"/>
      <c r="C488" s="38" t="s">
        <v>56</v>
      </c>
      <c r="D488" s="38" t="s">
        <v>15</v>
      </c>
      <c r="E488" s="38" t="s">
        <v>528</v>
      </c>
      <c r="F488" s="38" t="s">
        <v>301</v>
      </c>
      <c r="G488" s="43"/>
      <c r="I488" s="43"/>
      <c r="K488" s="43"/>
      <c r="L488" s="56">
        <v>6000</v>
      </c>
      <c r="M488" s="43">
        <f>K488+L488</f>
        <v>6000</v>
      </c>
      <c r="N488" s="56"/>
      <c r="O488" s="73">
        <f>M488+N488</f>
        <v>6000</v>
      </c>
      <c r="Q488" s="73">
        <f>O488+P488</f>
        <v>6000</v>
      </c>
    </row>
    <row r="489" spans="1:17" ht="31.5" x14ac:dyDescent="0.25">
      <c r="A489" s="42" t="s">
        <v>414</v>
      </c>
      <c r="B489" s="38"/>
      <c r="C489" s="38" t="s">
        <v>56</v>
      </c>
      <c r="D489" s="38" t="s">
        <v>15</v>
      </c>
      <c r="E489" s="38" t="s">
        <v>344</v>
      </c>
      <c r="F489" s="38"/>
      <c r="G489" s="43">
        <f>G490</f>
        <v>500</v>
      </c>
      <c r="I489" s="43">
        <f>I490</f>
        <v>500</v>
      </c>
      <c r="K489" s="43">
        <f>K490</f>
        <v>500</v>
      </c>
      <c r="L489" s="56"/>
      <c r="M489" s="43">
        <f>M490</f>
        <v>500</v>
      </c>
      <c r="N489" s="56"/>
      <c r="O489" s="73">
        <f>O490</f>
        <v>500</v>
      </c>
      <c r="Q489" s="73">
        <f>Q490</f>
        <v>500</v>
      </c>
    </row>
    <row r="490" spans="1:17" ht="18.75" customHeight="1" x14ac:dyDescent="0.25">
      <c r="A490" s="41" t="s">
        <v>302</v>
      </c>
      <c r="B490" s="38"/>
      <c r="C490" s="38" t="s">
        <v>56</v>
      </c>
      <c r="D490" s="38" t="s">
        <v>15</v>
      </c>
      <c r="E490" s="38" t="s">
        <v>344</v>
      </c>
      <c r="F490" s="38" t="s">
        <v>301</v>
      </c>
      <c r="G490" s="43">
        <v>500</v>
      </c>
      <c r="I490" s="43">
        <f>G490+H490</f>
        <v>500</v>
      </c>
      <c r="K490" s="43">
        <f>I490+J490</f>
        <v>500</v>
      </c>
      <c r="L490" s="56"/>
      <c r="M490" s="43">
        <f>K490+L490</f>
        <v>500</v>
      </c>
      <c r="N490" s="56"/>
      <c r="O490" s="73">
        <f>M490+N490</f>
        <v>500</v>
      </c>
      <c r="Q490" s="73">
        <f>O490+P490</f>
        <v>500</v>
      </c>
    </row>
    <row r="491" spans="1:17" ht="18.75" customHeight="1" x14ac:dyDescent="0.25">
      <c r="A491" s="19" t="s">
        <v>397</v>
      </c>
      <c r="B491" s="38"/>
      <c r="C491" s="38" t="s">
        <v>56</v>
      </c>
      <c r="D491" s="38" t="s">
        <v>15</v>
      </c>
      <c r="E491" s="38" t="s">
        <v>398</v>
      </c>
      <c r="F491" s="38"/>
      <c r="G491" s="43">
        <f>G492</f>
        <v>500</v>
      </c>
      <c r="I491" s="43">
        <f>I492</f>
        <v>500</v>
      </c>
      <c r="K491" s="43">
        <f>K492</f>
        <v>500</v>
      </c>
      <c r="L491" s="56"/>
      <c r="M491" s="43">
        <f>M492</f>
        <v>500</v>
      </c>
      <c r="N491" s="56"/>
      <c r="O491" s="73">
        <f>O492</f>
        <v>500</v>
      </c>
      <c r="Q491" s="73">
        <f>Q492</f>
        <v>500</v>
      </c>
    </row>
    <row r="492" spans="1:17" ht="17.25" customHeight="1" x14ac:dyDescent="0.25">
      <c r="A492" s="41" t="s">
        <v>415</v>
      </c>
      <c r="B492" s="38"/>
      <c r="C492" s="38" t="s">
        <v>56</v>
      </c>
      <c r="D492" s="38" t="s">
        <v>15</v>
      </c>
      <c r="E492" s="38" t="s">
        <v>398</v>
      </c>
      <c r="F492" s="38" t="s">
        <v>301</v>
      </c>
      <c r="G492" s="43">
        <v>500</v>
      </c>
      <c r="I492" s="43">
        <f>G492+H492</f>
        <v>500</v>
      </c>
      <c r="K492" s="43">
        <f>I492+J492</f>
        <v>500</v>
      </c>
      <c r="L492" s="56"/>
      <c r="M492" s="43">
        <f>K492+L492</f>
        <v>500</v>
      </c>
      <c r="N492" s="56"/>
      <c r="O492" s="73">
        <f>M492+N492</f>
        <v>500</v>
      </c>
      <c r="Q492" s="73">
        <f>O492+P492</f>
        <v>500</v>
      </c>
    </row>
    <row r="493" spans="1:17" x14ac:dyDescent="0.25">
      <c r="A493" s="10" t="s">
        <v>80</v>
      </c>
      <c r="B493" s="35"/>
      <c r="C493" s="35" t="s">
        <v>56</v>
      </c>
      <c r="D493" s="35" t="s">
        <v>17</v>
      </c>
      <c r="E493" s="35"/>
      <c r="F493" s="35"/>
      <c r="G493" s="44"/>
      <c r="H493" s="57"/>
      <c r="I493" s="44"/>
      <c r="J493" s="57"/>
      <c r="K493" s="44"/>
      <c r="L493" s="57"/>
      <c r="M493" s="44">
        <f>M494</f>
        <v>5807.65</v>
      </c>
      <c r="N493" s="57"/>
      <c r="O493" s="72">
        <f>O494+O496</f>
        <v>5933.86</v>
      </c>
      <c r="Q493" s="72">
        <f>Q494+Q496</f>
        <v>5933.86</v>
      </c>
    </row>
    <row r="494" spans="1:17" ht="30" x14ac:dyDescent="0.25">
      <c r="A494" s="41" t="s">
        <v>531</v>
      </c>
      <c r="B494" s="38"/>
      <c r="C494" s="38" t="s">
        <v>56</v>
      </c>
      <c r="D494" s="38" t="s">
        <v>17</v>
      </c>
      <c r="E494" s="38" t="s">
        <v>530</v>
      </c>
      <c r="F494" s="38"/>
      <c r="G494" s="43"/>
      <c r="I494" s="43"/>
      <c r="K494" s="43"/>
      <c r="L494" s="56"/>
      <c r="M494" s="43">
        <f>M495</f>
        <v>5807.65</v>
      </c>
      <c r="N494" s="56"/>
      <c r="O494" s="73">
        <f>O495</f>
        <v>5807.65</v>
      </c>
      <c r="Q494" s="73">
        <f>Q495</f>
        <v>5807.65</v>
      </c>
    </row>
    <row r="495" spans="1:17" ht="18" customHeight="1" x14ac:dyDescent="0.25">
      <c r="A495" s="41" t="s">
        <v>302</v>
      </c>
      <c r="B495" s="38"/>
      <c r="C495" s="38" t="s">
        <v>56</v>
      </c>
      <c r="D495" s="38" t="s">
        <v>17</v>
      </c>
      <c r="E495" s="38" t="s">
        <v>530</v>
      </c>
      <c r="F495" s="38" t="s">
        <v>301</v>
      </c>
      <c r="G495" s="43"/>
      <c r="I495" s="43"/>
      <c r="K495" s="43"/>
      <c r="L495" s="56">
        <v>5807.65</v>
      </c>
      <c r="M495" s="43">
        <f>K495+L495</f>
        <v>5807.65</v>
      </c>
      <c r="N495" s="56"/>
      <c r="O495" s="73">
        <f>M495+N495</f>
        <v>5807.65</v>
      </c>
      <c r="Q495" s="73">
        <f>O495+P495</f>
        <v>5807.65</v>
      </c>
    </row>
    <row r="496" spans="1:17" ht="17.25" customHeight="1" x14ac:dyDescent="0.25">
      <c r="A496" s="41" t="s">
        <v>592</v>
      </c>
      <c r="B496" s="38"/>
      <c r="C496" s="38" t="s">
        <v>56</v>
      </c>
      <c r="D496" s="38" t="s">
        <v>17</v>
      </c>
      <c r="E496" s="38" t="s">
        <v>591</v>
      </c>
      <c r="F496" s="38"/>
      <c r="G496" s="43"/>
      <c r="I496" s="43"/>
      <c r="K496" s="43"/>
      <c r="L496" s="56"/>
      <c r="M496" s="43"/>
      <c r="N496" s="56"/>
      <c r="O496" s="73">
        <f>O497</f>
        <v>126.21</v>
      </c>
      <c r="Q496" s="73">
        <f>Q497</f>
        <v>126.21</v>
      </c>
    </row>
    <row r="497" spans="1:17" ht="15.75" customHeight="1" x14ac:dyDescent="0.25">
      <c r="A497" s="41" t="s">
        <v>572</v>
      </c>
      <c r="B497" s="38"/>
      <c r="C497" s="38" t="s">
        <v>56</v>
      </c>
      <c r="D497" s="38" t="s">
        <v>17</v>
      </c>
      <c r="E497" s="38" t="s">
        <v>591</v>
      </c>
      <c r="F497" s="38" t="s">
        <v>210</v>
      </c>
      <c r="G497" s="43"/>
      <c r="I497" s="43"/>
      <c r="K497" s="43"/>
      <c r="L497" s="56"/>
      <c r="M497" s="43"/>
      <c r="N497" s="56">
        <f>126.21</f>
        <v>126.21</v>
      </c>
      <c r="O497" s="73">
        <f>M497+N497</f>
        <v>126.21</v>
      </c>
      <c r="Q497" s="73">
        <f>O497+P497</f>
        <v>126.21</v>
      </c>
    </row>
    <row r="498" spans="1:17" ht="15" customHeight="1" x14ac:dyDescent="0.25">
      <c r="A498" s="120" t="s">
        <v>314</v>
      </c>
      <c r="B498" s="35" t="s">
        <v>7</v>
      </c>
      <c r="C498" s="35"/>
      <c r="D498" s="35"/>
      <c r="E498" s="35"/>
      <c r="F498" s="35"/>
      <c r="G498" s="44">
        <f>G499</f>
        <v>1420</v>
      </c>
      <c r="I498" s="44">
        <f>I499</f>
        <v>1420</v>
      </c>
      <c r="K498" s="44">
        <f>K499</f>
        <v>1420</v>
      </c>
      <c r="L498" s="56"/>
      <c r="M498" s="63">
        <f>M499</f>
        <v>1470.1999999999998</v>
      </c>
      <c r="N498" s="56"/>
      <c r="O498" s="72">
        <f>O499</f>
        <v>1470.1999999999998</v>
      </c>
      <c r="Q498" s="72">
        <f>Q499</f>
        <v>1470.1999999999998</v>
      </c>
    </row>
    <row r="499" spans="1:17" x14ac:dyDescent="0.25">
      <c r="A499" s="40" t="s">
        <v>129</v>
      </c>
      <c r="B499" s="35"/>
      <c r="C499" s="35" t="s">
        <v>15</v>
      </c>
      <c r="D499" s="35"/>
      <c r="E499" s="38"/>
      <c r="F499" s="38"/>
      <c r="G499" s="43">
        <f>G500</f>
        <v>1420</v>
      </c>
      <c r="I499" s="43">
        <f>I500</f>
        <v>1420</v>
      </c>
      <c r="K499" s="43">
        <f>K500</f>
        <v>1420</v>
      </c>
      <c r="L499" s="56"/>
      <c r="M499" s="43">
        <f>M500</f>
        <v>1470.1999999999998</v>
      </c>
      <c r="N499" s="56"/>
      <c r="O499" s="73">
        <f>O500</f>
        <v>1470.1999999999998</v>
      </c>
      <c r="Q499" s="73">
        <f>Q500</f>
        <v>1470.1999999999998</v>
      </c>
    </row>
    <row r="500" spans="1:17" x14ac:dyDescent="0.25">
      <c r="A500" s="40" t="s">
        <v>29</v>
      </c>
      <c r="B500" s="35"/>
      <c r="C500" s="35" t="s">
        <v>15</v>
      </c>
      <c r="D500" s="35" t="s">
        <v>185</v>
      </c>
      <c r="E500" s="38"/>
      <c r="F500" s="38"/>
      <c r="G500" s="43">
        <f>G501</f>
        <v>1420</v>
      </c>
      <c r="I500" s="43">
        <f>I501</f>
        <v>1420</v>
      </c>
      <c r="K500" s="43">
        <f>K501</f>
        <v>1420</v>
      </c>
      <c r="L500" s="56"/>
      <c r="M500" s="43">
        <f>M501</f>
        <v>1470.1999999999998</v>
      </c>
      <c r="N500" s="56"/>
      <c r="O500" s="73">
        <f>O501</f>
        <v>1470.1999999999998</v>
      </c>
      <c r="Q500" s="73">
        <f>Q501</f>
        <v>1470.1999999999998</v>
      </c>
    </row>
    <row r="501" spans="1:17" x14ac:dyDescent="0.25">
      <c r="A501" s="39" t="s">
        <v>52</v>
      </c>
      <c r="B501" s="38"/>
      <c r="C501" s="38" t="s">
        <v>15</v>
      </c>
      <c r="D501" s="38" t="s">
        <v>185</v>
      </c>
      <c r="E501" s="38" t="s">
        <v>292</v>
      </c>
      <c r="F501" s="38"/>
      <c r="G501" s="43">
        <f>G502+G504+G505+G506+G507</f>
        <v>1420</v>
      </c>
      <c r="I501" s="43">
        <f>I502+I504+I505+I506+I507</f>
        <v>1420</v>
      </c>
      <c r="K501" s="43">
        <f>K502+K504+K505+K506+K507</f>
        <v>1420</v>
      </c>
      <c r="L501" s="56"/>
      <c r="M501" s="43">
        <f>M502+M504+M505+M506+M507+M503</f>
        <v>1470.1999999999998</v>
      </c>
      <c r="N501" s="56"/>
      <c r="O501" s="73">
        <f>O502+O504+O505+O506+O507+O503</f>
        <v>1470.1999999999998</v>
      </c>
      <c r="Q501" s="73">
        <f>Q502+Q504+Q505+Q506+Q507+Q503</f>
        <v>1470.1999999999998</v>
      </c>
    </row>
    <row r="502" spans="1:17" x14ac:dyDescent="0.25">
      <c r="A502" s="19" t="s">
        <v>204</v>
      </c>
      <c r="B502" s="38"/>
      <c r="C502" s="38" t="s">
        <v>15</v>
      </c>
      <c r="D502" s="38" t="s">
        <v>185</v>
      </c>
      <c r="E502" s="38" t="s">
        <v>292</v>
      </c>
      <c r="F502" s="38" t="s">
        <v>394</v>
      </c>
      <c r="G502" s="43">
        <v>1007.7</v>
      </c>
      <c r="I502" s="43">
        <f>G502+H502</f>
        <v>1007.7</v>
      </c>
      <c r="J502" s="56">
        <v>65.599999999999994</v>
      </c>
      <c r="K502" s="43">
        <f>I502+J502</f>
        <v>1073.3</v>
      </c>
      <c r="L502" s="56">
        <v>20.8</v>
      </c>
      <c r="M502" s="43">
        <f t="shared" ref="M502:M507" si="10">K502+L502</f>
        <v>1094.0999999999999</v>
      </c>
      <c r="N502" s="56"/>
      <c r="O502" s="73">
        <f t="shared" ref="O502:Q507" si="11">M502+N502</f>
        <v>1094.0999999999999</v>
      </c>
      <c r="Q502" s="73">
        <f t="shared" si="11"/>
        <v>1094.0999999999999</v>
      </c>
    </row>
    <row r="503" spans="1:17" x14ac:dyDescent="0.25">
      <c r="A503" s="19" t="s">
        <v>206</v>
      </c>
      <c r="B503" s="38"/>
      <c r="C503" s="38" t="s">
        <v>15</v>
      </c>
      <c r="D503" s="38" t="s">
        <v>185</v>
      </c>
      <c r="E503" s="38" t="s">
        <v>292</v>
      </c>
      <c r="F503" s="38" t="s">
        <v>395</v>
      </c>
      <c r="G503" s="43"/>
      <c r="I503" s="43"/>
      <c r="K503" s="43"/>
      <c r="L503" s="56">
        <v>0.5</v>
      </c>
      <c r="M503" s="43">
        <f t="shared" si="10"/>
        <v>0.5</v>
      </c>
      <c r="N503" s="56"/>
      <c r="O503" s="73">
        <f t="shared" si="11"/>
        <v>0.5</v>
      </c>
      <c r="Q503" s="73">
        <f t="shared" si="11"/>
        <v>0.5</v>
      </c>
    </row>
    <row r="504" spans="1:17" ht="17.25" customHeight="1" x14ac:dyDescent="0.25">
      <c r="A504" s="19" t="s">
        <v>208</v>
      </c>
      <c r="B504" s="38"/>
      <c r="C504" s="38" t="s">
        <v>15</v>
      </c>
      <c r="D504" s="38" t="s">
        <v>185</v>
      </c>
      <c r="E504" s="38" t="s">
        <v>292</v>
      </c>
      <c r="F504" s="38" t="s">
        <v>209</v>
      </c>
      <c r="G504" s="43">
        <v>238.7</v>
      </c>
      <c r="I504" s="43">
        <f>G504+H504</f>
        <v>238.7</v>
      </c>
      <c r="J504" s="56">
        <v>-58.7</v>
      </c>
      <c r="K504" s="43">
        <f>I504+J504</f>
        <v>180</v>
      </c>
      <c r="L504" s="56">
        <v>22.2</v>
      </c>
      <c r="M504" s="43">
        <f t="shared" si="10"/>
        <v>202.2</v>
      </c>
      <c r="N504" s="56"/>
      <c r="O504" s="73">
        <f t="shared" si="11"/>
        <v>202.2</v>
      </c>
      <c r="Q504" s="73">
        <f t="shared" si="11"/>
        <v>202.2</v>
      </c>
    </row>
    <row r="505" spans="1:17" x14ac:dyDescent="0.25">
      <c r="A505" s="41" t="s">
        <v>224</v>
      </c>
      <c r="B505" s="38"/>
      <c r="C505" s="38" t="s">
        <v>15</v>
      </c>
      <c r="D505" s="38" t="s">
        <v>185</v>
      </c>
      <c r="E505" s="38" t="s">
        <v>292</v>
      </c>
      <c r="F505" s="38" t="s">
        <v>210</v>
      </c>
      <c r="G505" s="43">
        <v>173.6</v>
      </c>
      <c r="I505" s="43">
        <f>G505+H505</f>
        <v>173.6</v>
      </c>
      <c r="J505" s="56">
        <v>-7.9</v>
      </c>
      <c r="K505" s="43">
        <f>I505+J505</f>
        <v>165.7</v>
      </c>
      <c r="L505" s="56">
        <v>6.7</v>
      </c>
      <c r="M505" s="43">
        <f t="shared" si="10"/>
        <v>172.39999999999998</v>
      </c>
      <c r="N505" s="56"/>
      <c r="O505" s="73">
        <f t="shared" si="11"/>
        <v>172.39999999999998</v>
      </c>
      <c r="Q505" s="73">
        <f t="shared" si="11"/>
        <v>172.39999999999998</v>
      </c>
    </row>
    <row r="506" spans="1:17" x14ac:dyDescent="0.25">
      <c r="A506" s="47" t="s">
        <v>318</v>
      </c>
      <c r="B506" s="38"/>
      <c r="C506" s="38" t="s">
        <v>15</v>
      </c>
      <c r="D506" s="38" t="s">
        <v>185</v>
      </c>
      <c r="E506" s="38" t="s">
        <v>292</v>
      </c>
      <c r="F506" s="38" t="s">
        <v>317</v>
      </c>
      <c r="G506" s="43"/>
      <c r="I506" s="43">
        <f>G506+H506</f>
        <v>0</v>
      </c>
      <c r="K506" s="43">
        <f>I506+J506</f>
        <v>0</v>
      </c>
      <c r="L506" s="56">
        <v>0.75</v>
      </c>
      <c r="M506" s="43">
        <f t="shared" si="10"/>
        <v>0.75</v>
      </c>
      <c r="N506" s="56"/>
      <c r="O506" s="73">
        <f t="shared" si="11"/>
        <v>0.75</v>
      </c>
      <c r="Q506" s="73">
        <f t="shared" si="11"/>
        <v>0.75</v>
      </c>
    </row>
    <row r="507" spans="1:17" x14ac:dyDescent="0.25">
      <c r="A507" s="47" t="s">
        <v>300</v>
      </c>
      <c r="B507" s="38"/>
      <c r="C507" s="38" t="s">
        <v>15</v>
      </c>
      <c r="D507" s="38" t="s">
        <v>185</v>
      </c>
      <c r="E507" s="38" t="s">
        <v>292</v>
      </c>
      <c r="F507" s="38" t="s">
        <v>299</v>
      </c>
      <c r="G507" s="43"/>
      <c r="I507" s="43">
        <f>G507+H507</f>
        <v>0</v>
      </c>
      <c r="J507" s="56">
        <v>1</v>
      </c>
      <c r="K507" s="43">
        <f>I507+J507</f>
        <v>1</v>
      </c>
      <c r="L507" s="56">
        <v>-0.75</v>
      </c>
      <c r="M507" s="43">
        <f t="shared" si="10"/>
        <v>0.25</v>
      </c>
      <c r="N507" s="56"/>
      <c r="O507" s="73">
        <f t="shared" si="11"/>
        <v>0.25</v>
      </c>
      <c r="Q507" s="73">
        <f t="shared" si="11"/>
        <v>0.25</v>
      </c>
    </row>
    <row r="508" spans="1:17" ht="30.75" customHeight="1" x14ac:dyDescent="0.25">
      <c r="A508" s="120" t="s">
        <v>315</v>
      </c>
      <c r="B508" s="35" t="s">
        <v>316</v>
      </c>
      <c r="C508" s="35"/>
      <c r="D508" s="35"/>
      <c r="E508" s="35"/>
      <c r="F508" s="35"/>
      <c r="G508" s="44">
        <f>G513</f>
        <v>1240.9000000000001</v>
      </c>
      <c r="I508" s="44">
        <f>I513</f>
        <v>1240.9000000000001</v>
      </c>
      <c r="K508" s="44">
        <f>K513</f>
        <v>1240.9000000000001</v>
      </c>
      <c r="L508" s="56"/>
      <c r="M508" s="63">
        <f>M513+M510</f>
        <v>17352.650000000001</v>
      </c>
      <c r="N508" s="56"/>
      <c r="O508" s="72">
        <f>O513+O510</f>
        <v>17352.650000000001</v>
      </c>
      <c r="Q508" s="72">
        <f>Q513+Q510</f>
        <v>17352.650000000001</v>
      </c>
    </row>
    <row r="509" spans="1:17" ht="15.75" customHeight="1" x14ac:dyDescent="0.25">
      <c r="A509" s="61" t="s">
        <v>42</v>
      </c>
      <c r="B509" s="38"/>
      <c r="C509" s="38" t="s">
        <v>24</v>
      </c>
      <c r="D509" s="38"/>
      <c r="E509" s="38"/>
      <c r="F509" s="38"/>
      <c r="G509" s="43"/>
      <c r="I509" s="43"/>
      <c r="K509" s="43"/>
      <c r="L509" s="56"/>
      <c r="M509" s="43">
        <f>M510</f>
        <v>23.5</v>
      </c>
      <c r="N509" s="56"/>
      <c r="O509" s="73">
        <f>O510</f>
        <v>23.5</v>
      </c>
      <c r="Q509" s="73">
        <f>Q510</f>
        <v>23.5</v>
      </c>
    </row>
    <row r="510" spans="1:17" ht="15.75" customHeight="1" x14ac:dyDescent="0.25">
      <c r="A510" s="10" t="s">
        <v>166</v>
      </c>
      <c r="B510" s="38"/>
      <c r="C510" s="38" t="s">
        <v>24</v>
      </c>
      <c r="D510" s="38" t="s">
        <v>27</v>
      </c>
      <c r="E510" s="38"/>
      <c r="F510" s="38"/>
      <c r="G510" s="43"/>
      <c r="I510" s="43"/>
      <c r="K510" s="43"/>
      <c r="L510" s="56"/>
      <c r="M510" s="43">
        <f>M511</f>
        <v>23.5</v>
      </c>
      <c r="N510" s="56"/>
      <c r="O510" s="73">
        <f>O511</f>
        <v>23.5</v>
      </c>
      <c r="Q510" s="73">
        <f>Q511</f>
        <v>23.5</v>
      </c>
    </row>
    <row r="511" spans="1:17" ht="30.75" customHeight="1" x14ac:dyDescent="0.25">
      <c r="A511" s="1" t="s">
        <v>355</v>
      </c>
      <c r="B511" s="38"/>
      <c r="C511" s="38" t="s">
        <v>24</v>
      </c>
      <c r="D511" s="38" t="s">
        <v>27</v>
      </c>
      <c r="E511" s="38" t="s">
        <v>309</v>
      </c>
      <c r="F511" s="38"/>
      <c r="G511" s="43"/>
      <c r="I511" s="43"/>
      <c r="K511" s="43"/>
      <c r="L511" s="56"/>
      <c r="M511" s="43">
        <f>M512</f>
        <v>23.5</v>
      </c>
      <c r="N511" s="56"/>
      <c r="O511" s="73">
        <f>O512</f>
        <v>23.5</v>
      </c>
      <c r="Q511" s="73">
        <f>Q512</f>
        <v>23.5</v>
      </c>
    </row>
    <row r="512" spans="1:17" ht="15.75" customHeight="1" x14ac:dyDescent="0.25">
      <c r="A512" s="41" t="s">
        <v>224</v>
      </c>
      <c r="B512" s="38"/>
      <c r="C512" s="38" t="s">
        <v>24</v>
      </c>
      <c r="D512" s="38" t="s">
        <v>27</v>
      </c>
      <c r="E512" s="38" t="s">
        <v>309</v>
      </c>
      <c r="F512" s="38" t="s">
        <v>210</v>
      </c>
      <c r="G512" s="43"/>
      <c r="I512" s="43"/>
      <c r="K512" s="43"/>
      <c r="L512" s="56">
        <v>23.5</v>
      </c>
      <c r="M512" s="43">
        <f>K512+L512</f>
        <v>23.5</v>
      </c>
      <c r="N512" s="56"/>
      <c r="O512" s="73">
        <f>M512+N512</f>
        <v>23.5</v>
      </c>
      <c r="Q512" s="73">
        <f>O512+P512</f>
        <v>23.5</v>
      </c>
    </row>
    <row r="513" spans="1:17" x14ac:dyDescent="0.25">
      <c r="A513" s="34" t="s">
        <v>45</v>
      </c>
      <c r="B513" s="35"/>
      <c r="C513" s="35" t="s">
        <v>46</v>
      </c>
      <c r="D513" s="35"/>
      <c r="E513" s="35"/>
      <c r="F513" s="35"/>
      <c r="G513" s="44">
        <f>G532</f>
        <v>1240.9000000000001</v>
      </c>
      <c r="I513" s="44">
        <f>I532</f>
        <v>1240.9000000000001</v>
      </c>
      <c r="K513" s="44">
        <f>K532</f>
        <v>1240.9000000000001</v>
      </c>
      <c r="L513" s="56"/>
      <c r="M513" s="44">
        <f>M532+M514+M517+M523</f>
        <v>17329.150000000001</v>
      </c>
      <c r="N513" s="56"/>
      <c r="O513" s="72">
        <f>O532+O514+O517+O523</f>
        <v>17329.150000000001</v>
      </c>
      <c r="Q513" s="72">
        <f>Q532+Q514+Q517+Q523</f>
        <v>17329.150000000001</v>
      </c>
    </row>
    <row r="514" spans="1:17" x14ac:dyDescent="0.25">
      <c r="A514" s="34" t="s">
        <v>470</v>
      </c>
      <c r="B514" s="38"/>
      <c r="C514" s="35" t="s">
        <v>46</v>
      </c>
      <c r="D514" s="35" t="s">
        <v>15</v>
      </c>
      <c r="E514" s="35"/>
      <c r="F514" s="35"/>
      <c r="G514" s="44"/>
      <c r="H514" s="57"/>
      <c r="I514" s="44"/>
      <c r="J514" s="57"/>
      <c r="K514" s="44"/>
      <c r="L514" s="57"/>
      <c r="M514" s="44">
        <f>M515</f>
        <v>0</v>
      </c>
      <c r="N514" s="57"/>
      <c r="O514" s="72">
        <f>O515</f>
        <v>0</v>
      </c>
      <c r="Q514" s="72">
        <f>Q515</f>
        <v>0</v>
      </c>
    </row>
    <row r="515" spans="1:17" x14ac:dyDescent="0.25">
      <c r="A515" s="39" t="s">
        <v>469</v>
      </c>
      <c r="B515" s="38"/>
      <c r="C515" s="38" t="s">
        <v>46</v>
      </c>
      <c r="D515" s="38" t="s">
        <v>15</v>
      </c>
      <c r="E515" s="38" t="s">
        <v>448</v>
      </c>
      <c r="F515" s="38"/>
      <c r="G515" s="43"/>
      <c r="I515" s="43"/>
      <c r="K515" s="43"/>
      <c r="L515" s="56"/>
      <c r="M515" s="43">
        <f>M516</f>
        <v>0</v>
      </c>
      <c r="N515" s="56"/>
      <c r="O515" s="73">
        <f>O516</f>
        <v>0</v>
      </c>
      <c r="Q515" s="73">
        <f>Q516</f>
        <v>0</v>
      </c>
    </row>
    <row r="516" spans="1:17" ht="31.5" customHeight="1" x14ac:dyDescent="0.25">
      <c r="A516" s="42" t="s">
        <v>450</v>
      </c>
      <c r="B516" s="38"/>
      <c r="C516" s="38" t="s">
        <v>46</v>
      </c>
      <c r="D516" s="38" t="s">
        <v>15</v>
      </c>
      <c r="E516" s="38" t="s">
        <v>448</v>
      </c>
      <c r="F516" s="38" t="s">
        <v>449</v>
      </c>
      <c r="G516" s="43"/>
      <c r="I516" s="43"/>
      <c r="K516" s="43"/>
      <c r="L516" s="56"/>
      <c r="M516" s="43">
        <f>K516+L516</f>
        <v>0</v>
      </c>
      <c r="N516" s="56"/>
      <c r="O516" s="73">
        <f>M516+N516</f>
        <v>0</v>
      </c>
      <c r="Q516" s="73">
        <f>O516+P516</f>
        <v>0</v>
      </c>
    </row>
    <row r="517" spans="1:17" x14ac:dyDescent="0.25">
      <c r="A517" s="34" t="s">
        <v>47</v>
      </c>
      <c r="B517" s="38"/>
      <c r="C517" s="35" t="s">
        <v>46</v>
      </c>
      <c r="D517" s="35" t="s">
        <v>17</v>
      </c>
      <c r="E517" s="35"/>
      <c r="F517" s="35"/>
      <c r="G517" s="44"/>
      <c r="H517" s="57"/>
      <c r="I517" s="44"/>
      <c r="J517" s="57"/>
      <c r="K517" s="44"/>
      <c r="L517" s="57"/>
      <c r="M517" s="44">
        <f>M518+M520</f>
        <v>4190.3999999999996</v>
      </c>
      <c r="N517" s="57"/>
      <c r="O517" s="72">
        <f>O518+O520</f>
        <v>4190.3999999999996</v>
      </c>
      <c r="Q517" s="72">
        <f>Q518+Q520</f>
        <v>4190.3999999999996</v>
      </c>
    </row>
    <row r="518" spans="1:17" x14ac:dyDescent="0.25">
      <c r="A518" s="39" t="s">
        <v>634</v>
      </c>
      <c r="B518" s="38"/>
      <c r="C518" s="38" t="s">
        <v>46</v>
      </c>
      <c r="D518" s="38" t="s">
        <v>17</v>
      </c>
      <c r="E518" s="38" t="s">
        <v>340</v>
      </c>
      <c r="F518" s="38"/>
      <c r="G518" s="43"/>
      <c r="I518" s="43"/>
      <c r="K518" s="43"/>
      <c r="L518" s="56"/>
      <c r="M518" s="43">
        <f>M519</f>
        <v>4012.4</v>
      </c>
      <c r="N518" s="56"/>
      <c r="O518" s="73">
        <f>O519</f>
        <v>4012.4</v>
      </c>
      <c r="Q518" s="73">
        <f>Q519</f>
        <v>4012.4</v>
      </c>
    </row>
    <row r="519" spans="1:17" x14ac:dyDescent="0.25">
      <c r="A519" s="41" t="s">
        <v>224</v>
      </c>
      <c r="B519" s="38"/>
      <c r="C519" s="38" t="s">
        <v>46</v>
      </c>
      <c r="D519" s="38" t="s">
        <v>17</v>
      </c>
      <c r="E519" s="38" t="s">
        <v>340</v>
      </c>
      <c r="F519" s="38" t="s">
        <v>210</v>
      </c>
      <c r="G519" s="43"/>
      <c r="I519" s="43"/>
      <c r="K519" s="43"/>
      <c r="L519" s="56">
        <v>4012.4</v>
      </c>
      <c r="M519" s="43">
        <f>K519+L519</f>
        <v>4012.4</v>
      </c>
      <c r="N519" s="56"/>
      <c r="O519" s="73">
        <f>M519+N519</f>
        <v>4012.4</v>
      </c>
      <c r="Q519" s="73">
        <f>O519+P519</f>
        <v>4012.4</v>
      </c>
    </row>
    <row r="520" spans="1:17" ht="31.5" x14ac:dyDescent="0.25">
      <c r="A520" s="42" t="s">
        <v>633</v>
      </c>
      <c r="B520" s="38"/>
      <c r="C520" s="38" t="s">
        <v>46</v>
      </c>
      <c r="D520" s="38" t="s">
        <v>17</v>
      </c>
      <c r="E520" s="38" t="s">
        <v>471</v>
      </c>
      <c r="F520" s="38"/>
      <c r="G520" s="43"/>
      <c r="I520" s="43"/>
      <c r="K520" s="43"/>
      <c r="L520" s="56"/>
      <c r="M520" s="43">
        <f>M521+M522</f>
        <v>178</v>
      </c>
      <c r="N520" s="56"/>
      <c r="O520" s="73">
        <f>O521+O522</f>
        <v>178</v>
      </c>
      <c r="Q520" s="73">
        <f>Q521+Q522</f>
        <v>178</v>
      </c>
    </row>
    <row r="521" spans="1:17" x14ac:dyDescent="0.25">
      <c r="A521" s="41" t="s">
        <v>224</v>
      </c>
      <c r="B521" s="38"/>
      <c r="C521" s="38" t="s">
        <v>46</v>
      </c>
      <c r="D521" s="38" t="s">
        <v>17</v>
      </c>
      <c r="E521" s="38" t="s">
        <v>471</v>
      </c>
      <c r="F521" s="38" t="s">
        <v>210</v>
      </c>
      <c r="G521" s="43"/>
      <c r="I521" s="43"/>
      <c r="K521" s="43"/>
      <c r="L521" s="56">
        <v>140</v>
      </c>
      <c r="M521" s="43">
        <f>K521+L521</f>
        <v>140</v>
      </c>
      <c r="N521" s="56"/>
      <c r="O521" s="73">
        <f>M521+N521</f>
        <v>140</v>
      </c>
      <c r="Q521" s="73">
        <f>O521+P521</f>
        <v>140</v>
      </c>
    </row>
    <row r="522" spans="1:17" x14ac:dyDescent="0.25">
      <c r="A522" s="41" t="s">
        <v>537</v>
      </c>
      <c r="B522" s="38"/>
      <c r="C522" s="38" t="s">
        <v>46</v>
      </c>
      <c r="D522" s="38" t="s">
        <v>17</v>
      </c>
      <c r="E522" s="38" t="s">
        <v>536</v>
      </c>
      <c r="F522" s="38" t="s">
        <v>210</v>
      </c>
      <c r="G522" s="43"/>
      <c r="I522" s="43"/>
      <c r="K522" s="43"/>
      <c r="L522" s="56">
        <v>38</v>
      </c>
      <c r="M522" s="43">
        <f>K522+L522</f>
        <v>38</v>
      </c>
      <c r="N522" s="56"/>
      <c r="O522" s="73">
        <f>M522+N522</f>
        <v>38</v>
      </c>
      <c r="Q522" s="73">
        <f>O522+P522</f>
        <v>38</v>
      </c>
    </row>
    <row r="523" spans="1:17" x14ac:dyDescent="0.25">
      <c r="A523" s="36" t="s">
        <v>48</v>
      </c>
      <c r="B523" s="38"/>
      <c r="C523" s="35" t="s">
        <v>46</v>
      </c>
      <c r="D523" s="35" t="s">
        <v>20</v>
      </c>
      <c r="E523" s="35"/>
      <c r="F523" s="35"/>
      <c r="G523" s="44"/>
      <c r="H523" s="57"/>
      <c r="I523" s="44"/>
      <c r="J523" s="57"/>
      <c r="K523" s="44"/>
      <c r="L523" s="57"/>
      <c r="M523" s="44">
        <f>M524+M526+M528+M530</f>
        <v>8784.7000000000007</v>
      </c>
      <c r="N523" s="57"/>
      <c r="O523" s="72">
        <f>O524+O526+O528+O530</f>
        <v>8784.7000000000007</v>
      </c>
      <c r="Q523" s="72">
        <f>Q524+Q526+Q528+Q530</f>
        <v>8784.7000000000007</v>
      </c>
    </row>
    <row r="524" spans="1:17" x14ac:dyDescent="0.25">
      <c r="A524" s="42" t="s">
        <v>473</v>
      </c>
      <c r="B524" s="38"/>
      <c r="C524" s="38" t="s">
        <v>46</v>
      </c>
      <c r="D524" s="38" t="s">
        <v>20</v>
      </c>
      <c r="E524" s="38" t="s">
        <v>472</v>
      </c>
      <c r="F524" s="38"/>
      <c r="G524" s="43"/>
      <c r="I524" s="43"/>
      <c r="K524" s="43"/>
      <c r="L524" s="56"/>
      <c r="M524" s="43">
        <f>M525</f>
        <v>2705.5</v>
      </c>
      <c r="N524" s="56"/>
      <c r="O524" s="73">
        <f>O525</f>
        <v>2705.5</v>
      </c>
      <c r="Q524" s="73">
        <f>Q525</f>
        <v>2705.5</v>
      </c>
    </row>
    <row r="525" spans="1:17" x14ac:dyDescent="0.25">
      <c r="A525" s="41" t="s">
        <v>224</v>
      </c>
      <c r="B525" s="38"/>
      <c r="C525" s="38" t="s">
        <v>46</v>
      </c>
      <c r="D525" s="38" t="s">
        <v>20</v>
      </c>
      <c r="E525" s="38" t="s">
        <v>472</v>
      </c>
      <c r="F525" s="38" t="s">
        <v>210</v>
      </c>
      <c r="G525" s="43"/>
      <c r="I525" s="43"/>
      <c r="K525" s="43"/>
      <c r="L525" s="56">
        <v>2705.5</v>
      </c>
      <c r="M525" s="43">
        <f>K525+L525</f>
        <v>2705.5</v>
      </c>
      <c r="N525" s="56"/>
      <c r="O525" s="73">
        <f>M525+N525</f>
        <v>2705.5</v>
      </c>
      <c r="Q525" s="73">
        <f>O525+P525</f>
        <v>2705.5</v>
      </c>
    </row>
    <row r="526" spans="1:17" ht="30" customHeight="1" x14ac:dyDescent="0.25">
      <c r="A526" s="42" t="s">
        <v>475</v>
      </c>
      <c r="B526" s="38"/>
      <c r="C526" s="38" t="s">
        <v>46</v>
      </c>
      <c r="D526" s="38" t="s">
        <v>20</v>
      </c>
      <c r="E526" s="38" t="s">
        <v>474</v>
      </c>
      <c r="F526" s="38"/>
      <c r="G526" s="43"/>
      <c r="I526" s="43"/>
      <c r="K526" s="43"/>
      <c r="L526" s="56"/>
      <c r="M526" s="43">
        <f>M527</f>
        <v>207.4</v>
      </c>
      <c r="N526" s="56"/>
      <c r="O526" s="73">
        <f>O527</f>
        <v>207.4</v>
      </c>
      <c r="Q526" s="73">
        <f>Q527</f>
        <v>207.4</v>
      </c>
    </row>
    <row r="527" spans="1:17" x14ac:dyDescent="0.25">
      <c r="A527" s="41" t="s">
        <v>224</v>
      </c>
      <c r="B527" s="38"/>
      <c r="C527" s="38" t="s">
        <v>46</v>
      </c>
      <c r="D527" s="38" t="s">
        <v>20</v>
      </c>
      <c r="E527" s="38" t="s">
        <v>474</v>
      </c>
      <c r="F527" s="38" t="s">
        <v>210</v>
      </c>
      <c r="G527" s="43"/>
      <c r="I527" s="43"/>
      <c r="K527" s="43"/>
      <c r="L527" s="56">
        <v>207.4</v>
      </c>
      <c r="M527" s="43">
        <f>K527+L527</f>
        <v>207.4</v>
      </c>
      <c r="N527" s="56"/>
      <c r="O527" s="73">
        <f>M527+N527</f>
        <v>207.4</v>
      </c>
      <c r="Q527" s="73">
        <f>O527+P527</f>
        <v>207.4</v>
      </c>
    </row>
    <row r="528" spans="1:17" x14ac:dyDescent="0.25">
      <c r="A528" s="39" t="s">
        <v>99</v>
      </c>
      <c r="B528" s="38"/>
      <c r="C528" s="38" t="s">
        <v>46</v>
      </c>
      <c r="D528" s="38" t="s">
        <v>20</v>
      </c>
      <c r="E528" s="38" t="s">
        <v>396</v>
      </c>
      <c r="F528" s="38"/>
      <c r="G528" s="43"/>
      <c r="I528" s="43"/>
      <c r="K528" s="43"/>
      <c r="L528" s="56"/>
      <c r="M528" s="43">
        <f>M529</f>
        <v>280</v>
      </c>
      <c r="N528" s="56"/>
      <c r="O528" s="73">
        <f>O529</f>
        <v>280</v>
      </c>
      <c r="Q528" s="73">
        <f>Q529</f>
        <v>280</v>
      </c>
    </row>
    <row r="529" spans="1:17" x14ac:dyDescent="0.25">
      <c r="A529" s="41" t="s">
        <v>224</v>
      </c>
      <c r="B529" s="38"/>
      <c r="C529" s="38" t="s">
        <v>46</v>
      </c>
      <c r="D529" s="38" t="s">
        <v>20</v>
      </c>
      <c r="E529" s="38" t="s">
        <v>396</v>
      </c>
      <c r="F529" s="38" t="s">
        <v>210</v>
      </c>
      <c r="G529" s="43"/>
      <c r="I529" s="43"/>
      <c r="K529" s="43"/>
      <c r="L529" s="56">
        <v>280</v>
      </c>
      <c r="M529" s="43">
        <f>K529+L529</f>
        <v>280</v>
      </c>
      <c r="N529" s="56"/>
      <c r="O529" s="73">
        <f>M529+N529</f>
        <v>280</v>
      </c>
      <c r="Q529" s="73">
        <f>O529+P529</f>
        <v>280</v>
      </c>
    </row>
    <row r="530" spans="1:17" x14ac:dyDescent="0.25">
      <c r="A530" s="42" t="s">
        <v>49</v>
      </c>
      <c r="B530" s="38"/>
      <c r="C530" s="38" t="s">
        <v>46</v>
      </c>
      <c r="D530" s="38" t="s">
        <v>20</v>
      </c>
      <c r="E530" s="38" t="s">
        <v>476</v>
      </c>
      <c r="F530" s="38"/>
      <c r="G530" s="43"/>
      <c r="I530" s="43"/>
      <c r="K530" s="43"/>
      <c r="L530" s="56"/>
      <c r="M530" s="43">
        <f>M531</f>
        <v>5591.8</v>
      </c>
      <c r="N530" s="56"/>
      <c r="O530" s="73">
        <f>O531</f>
        <v>5591.8</v>
      </c>
      <c r="Q530" s="73">
        <f>Q531</f>
        <v>5591.8</v>
      </c>
    </row>
    <row r="531" spans="1:17" x14ac:dyDescent="0.25">
      <c r="A531" s="41" t="s">
        <v>224</v>
      </c>
      <c r="B531" s="38"/>
      <c r="C531" s="38" t="s">
        <v>46</v>
      </c>
      <c r="D531" s="38" t="s">
        <v>20</v>
      </c>
      <c r="E531" s="38" t="s">
        <v>476</v>
      </c>
      <c r="F531" s="38" t="s">
        <v>210</v>
      </c>
      <c r="G531" s="43"/>
      <c r="I531" s="43"/>
      <c r="K531" s="43"/>
      <c r="L531" s="56">
        <f>5300.8+291</f>
        <v>5591.8</v>
      </c>
      <c r="M531" s="43">
        <f>K531+L531</f>
        <v>5591.8</v>
      </c>
      <c r="N531" s="56"/>
      <c r="O531" s="73">
        <f>M531+N531</f>
        <v>5591.8</v>
      </c>
      <c r="Q531" s="73">
        <f>O531+P531</f>
        <v>5591.8</v>
      </c>
    </row>
    <row r="532" spans="1:17" ht="15.75" customHeight="1" x14ac:dyDescent="0.25">
      <c r="A532" s="37" t="s">
        <v>51</v>
      </c>
      <c r="B532" s="35"/>
      <c r="C532" s="35" t="s">
        <v>46</v>
      </c>
      <c r="D532" s="35" t="s">
        <v>46</v>
      </c>
      <c r="E532" s="35"/>
      <c r="F532" s="35"/>
      <c r="G532" s="44">
        <f>G533</f>
        <v>1240.9000000000001</v>
      </c>
      <c r="I532" s="44">
        <f>I533</f>
        <v>1240.9000000000001</v>
      </c>
      <c r="K532" s="44">
        <f>K533</f>
        <v>1240.9000000000001</v>
      </c>
      <c r="L532" s="56"/>
      <c r="M532" s="44">
        <f>M533</f>
        <v>4354.05</v>
      </c>
      <c r="N532" s="56"/>
      <c r="O532" s="72">
        <f>O533</f>
        <v>4354.05</v>
      </c>
      <c r="Q532" s="72">
        <f>Q533</f>
        <v>4354.05</v>
      </c>
    </row>
    <row r="533" spans="1:17" x14ac:dyDescent="0.25">
      <c r="A533" s="39" t="s">
        <v>52</v>
      </c>
      <c r="B533" s="38"/>
      <c r="C533" s="38" t="s">
        <v>46</v>
      </c>
      <c r="D533" s="38" t="s">
        <v>46</v>
      </c>
      <c r="E533" s="38" t="s">
        <v>259</v>
      </c>
      <c r="F533" s="38"/>
      <c r="G533" s="43">
        <f>G534+G536</f>
        <v>1240.9000000000001</v>
      </c>
      <c r="I533" s="43">
        <f>I534+I536</f>
        <v>1240.9000000000001</v>
      </c>
      <c r="K533" s="43">
        <f>K534+K536</f>
        <v>1240.9000000000001</v>
      </c>
      <c r="L533" s="56"/>
      <c r="M533" s="43">
        <f>M534+M536+M537+M538+M535</f>
        <v>4354.05</v>
      </c>
      <c r="N533" s="56"/>
      <c r="O533" s="73">
        <f>O534+O536+O537+O538+O535</f>
        <v>4354.05</v>
      </c>
      <c r="Q533" s="73">
        <f>Q534+Q536+Q537+Q538+Q535</f>
        <v>4354.05</v>
      </c>
    </row>
    <row r="534" spans="1:17" x14ac:dyDescent="0.25">
      <c r="A534" s="19" t="s">
        <v>204</v>
      </c>
      <c r="B534" s="38"/>
      <c r="C534" s="38" t="s">
        <v>46</v>
      </c>
      <c r="D534" s="38" t="s">
        <v>46</v>
      </c>
      <c r="E534" s="38" t="s">
        <v>259</v>
      </c>
      <c r="F534" s="38" t="s">
        <v>394</v>
      </c>
      <c r="G534" s="43">
        <v>1240.9000000000001</v>
      </c>
      <c r="I534" s="43">
        <f>G534+H534</f>
        <v>1240.9000000000001</v>
      </c>
      <c r="J534" s="56">
        <v>-132.5</v>
      </c>
      <c r="K534" s="43">
        <f>I534+J534</f>
        <v>1108.4000000000001</v>
      </c>
      <c r="L534" s="56">
        <f>2568.65+239.6</f>
        <v>2808.25</v>
      </c>
      <c r="M534" s="43">
        <f>K534+L534</f>
        <v>3916.65</v>
      </c>
      <c r="N534" s="56"/>
      <c r="O534" s="73">
        <f>M534+N534</f>
        <v>3916.65</v>
      </c>
      <c r="Q534" s="73">
        <f>O534+P534</f>
        <v>3916.65</v>
      </c>
    </row>
    <row r="535" spans="1:17" ht="30" customHeight="1" x14ac:dyDescent="0.25">
      <c r="A535" s="19" t="s">
        <v>564</v>
      </c>
      <c r="B535" s="38"/>
      <c r="C535" s="38" t="s">
        <v>46</v>
      </c>
      <c r="D535" s="38" t="s">
        <v>46</v>
      </c>
      <c r="E535" s="38" t="s">
        <v>259</v>
      </c>
      <c r="F535" s="38" t="s">
        <v>395</v>
      </c>
      <c r="G535" s="43"/>
      <c r="I535" s="43"/>
      <c r="K535" s="43"/>
      <c r="L535" s="56">
        <v>30</v>
      </c>
      <c r="M535" s="43">
        <f>K535+L535</f>
        <v>30</v>
      </c>
      <c r="N535" s="56"/>
      <c r="O535" s="73">
        <f>M535+N535</f>
        <v>30</v>
      </c>
      <c r="Q535" s="73">
        <f>O535+P535</f>
        <v>30</v>
      </c>
    </row>
    <row r="536" spans="1:17" x14ac:dyDescent="0.25">
      <c r="A536" s="41" t="s">
        <v>224</v>
      </c>
      <c r="B536" s="38"/>
      <c r="C536" s="38" t="s">
        <v>46</v>
      </c>
      <c r="D536" s="38" t="s">
        <v>46</v>
      </c>
      <c r="E536" s="38" t="s">
        <v>259</v>
      </c>
      <c r="F536" s="38" t="s">
        <v>210</v>
      </c>
      <c r="G536" s="43"/>
      <c r="I536" s="43">
        <f>G536+H536</f>
        <v>0</v>
      </c>
      <c r="J536" s="56">
        <v>132.5</v>
      </c>
      <c r="K536" s="43">
        <f>I536+J536</f>
        <v>132.5</v>
      </c>
      <c r="L536" s="56">
        <f>-82.5+38</f>
        <v>-44.5</v>
      </c>
      <c r="M536" s="43">
        <f>K536+L536</f>
        <v>88</v>
      </c>
      <c r="N536" s="56"/>
      <c r="O536" s="73">
        <f>M536+N536</f>
        <v>88</v>
      </c>
      <c r="Q536" s="73">
        <f>O536+P536</f>
        <v>88</v>
      </c>
    </row>
    <row r="537" spans="1:17" x14ac:dyDescent="0.25">
      <c r="A537" s="47" t="s">
        <v>318</v>
      </c>
      <c r="B537" s="38"/>
      <c r="C537" s="38" t="s">
        <v>46</v>
      </c>
      <c r="D537" s="38" t="s">
        <v>46</v>
      </c>
      <c r="E537" s="38" t="s">
        <v>259</v>
      </c>
      <c r="F537" s="38" t="s">
        <v>317</v>
      </c>
      <c r="G537" s="43"/>
      <c r="I537" s="43"/>
      <c r="K537" s="43"/>
      <c r="L537" s="56">
        <v>232.9</v>
      </c>
      <c r="M537" s="43">
        <f>K537+L537</f>
        <v>232.9</v>
      </c>
      <c r="N537" s="56"/>
      <c r="O537" s="73">
        <f>M537+N537</f>
        <v>232.9</v>
      </c>
      <c r="Q537" s="73">
        <f>O537+P537</f>
        <v>232.9</v>
      </c>
    </row>
    <row r="538" spans="1:17" x14ac:dyDescent="0.25">
      <c r="A538" s="47" t="s">
        <v>300</v>
      </c>
      <c r="B538" s="38"/>
      <c r="C538" s="38" t="s">
        <v>46</v>
      </c>
      <c r="D538" s="38" t="s">
        <v>46</v>
      </c>
      <c r="E538" s="38" t="s">
        <v>259</v>
      </c>
      <c r="F538" s="38" t="s">
        <v>299</v>
      </c>
      <c r="G538" s="43"/>
      <c r="I538" s="43"/>
      <c r="K538" s="43"/>
      <c r="L538" s="56">
        <v>86.5</v>
      </c>
      <c r="M538" s="43">
        <f>K538+L538</f>
        <v>86.5</v>
      </c>
      <c r="N538" s="56"/>
      <c r="O538" s="73">
        <f>M538+N538</f>
        <v>86.5</v>
      </c>
      <c r="Q538" s="73">
        <f>O538+P538</f>
        <v>86.5</v>
      </c>
    </row>
    <row r="539" spans="1:17" x14ac:dyDescent="0.25">
      <c r="A539" s="125" t="s">
        <v>446</v>
      </c>
      <c r="B539" s="35" t="s">
        <v>454</v>
      </c>
      <c r="C539" s="35"/>
      <c r="D539" s="35"/>
      <c r="E539" s="35"/>
      <c r="F539" s="35"/>
      <c r="G539" s="44">
        <f>G540</f>
        <v>4984.2</v>
      </c>
      <c r="I539" s="44">
        <f>I540</f>
        <v>4984.2</v>
      </c>
      <c r="K539" s="44">
        <f>K540</f>
        <v>4984.2</v>
      </c>
      <c r="L539" s="56"/>
      <c r="M539" s="63">
        <f>M540</f>
        <v>5253.3</v>
      </c>
      <c r="N539" s="56"/>
      <c r="O539" s="72">
        <f>O540</f>
        <v>5253.3</v>
      </c>
      <c r="Q539" s="72">
        <f>Q540</f>
        <v>5253.3</v>
      </c>
    </row>
    <row r="540" spans="1:17" x14ac:dyDescent="0.25">
      <c r="A540" s="40" t="s">
        <v>129</v>
      </c>
      <c r="B540" s="35"/>
      <c r="C540" s="35" t="s">
        <v>15</v>
      </c>
      <c r="D540" s="35"/>
      <c r="E540" s="38"/>
      <c r="F540" s="38"/>
      <c r="G540" s="43">
        <f>G541</f>
        <v>4984.2</v>
      </c>
      <c r="I540" s="43">
        <f>I541</f>
        <v>4984.2</v>
      </c>
      <c r="K540" s="43">
        <f>K541</f>
        <v>4984.2</v>
      </c>
      <c r="L540" s="56"/>
      <c r="M540" s="43">
        <f>M541</f>
        <v>5253.3</v>
      </c>
      <c r="N540" s="56"/>
      <c r="O540" s="73">
        <f>O541</f>
        <v>5253.3</v>
      </c>
      <c r="Q540" s="73">
        <f>Q541</f>
        <v>5253.3</v>
      </c>
    </row>
    <row r="541" spans="1:17" x14ac:dyDescent="0.25">
      <c r="A541" s="40" t="s">
        <v>29</v>
      </c>
      <c r="B541" s="35"/>
      <c r="C541" s="35" t="s">
        <v>15</v>
      </c>
      <c r="D541" s="35" t="s">
        <v>185</v>
      </c>
      <c r="E541" s="38"/>
      <c r="F541" s="38"/>
      <c r="G541" s="43">
        <f>G542</f>
        <v>4984.2</v>
      </c>
      <c r="I541" s="43">
        <f>I542</f>
        <v>4984.2</v>
      </c>
      <c r="K541" s="43">
        <f>K542</f>
        <v>4984.2</v>
      </c>
      <c r="L541" s="56"/>
      <c r="M541" s="43">
        <f>M542+M548</f>
        <v>5253.3</v>
      </c>
      <c r="N541" s="56"/>
      <c r="O541" s="73">
        <f>O542+O548</f>
        <v>5253.3</v>
      </c>
      <c r="Q541" s="73">
        <f>Q542+Q548</f>
        <v>5253.3</v>
      </c>
    </row>
    <row r="542" spans="1:17" x14ac:dyDescent="0.25">
      <c r="A542" s="124" t="s">
        <v>260</v>
      </c>
      <c r="B542" s="38"/>
      <c r="C542" s="38" t="s">
        <v>15</v>
      </c>
      <c r="D542" s="38" t="s">
        <v>185</v>
      </c>
      <c r="E542" s="38" t="s">
        <v>259</v>
      </c>
      <c r="F542" s="38"/>
      <c r="G542" s="43">
        <f>G543+G545+G544+G546+G547</f>
        <v>4984.2</v>
      </c>
      <c r="I542" s="43">
        <f>I543+I545+I544+I546+I547</f>
        <v>4984.2</v>
      </c>
      <c r="K542" s="43">
        <f>K543+K545+K544+K546+K547</f>
        <v>4984.2</v>
      </c>
      <c r="L542" s="56"/>
      <c r="M542" s="43">
        <f>M543+M545+M544+M546+M547</f>
        <v>4753.3</v>
      </c>
      <c r="N542" s="56"/>
      <c r="O542" s="73">
        <f>O543+O545+O544+O546+O547</f>
        <v>4753.3</v>
      </c>
      <c r="Q542" s="73">
        <f>Q543+Q545+Q544+Q546+Q547</f>
        <v>4753.3</v>
      </c>
    </row>
    <row r="543" spans="1:17" x14ac:dyDescent="0.25">
      <c r="A543" s="19" t="s">
        <v>204</v>
      </c>
      <c r="B543" s="38"/>
      <c r="C543" s="38" t="s">
        <v>15</v>
      </c>
      <c r="D543" s="38" t="s">
        <v>185</v>
      </c>
      <c r="E543" s="38" t="s">
        <v>259</v>
      </c>
      <c r="F543" s="38" t="s">
        <v>394</v>
      </c>
      <c r="G543" s="43">
        <f>3761.1+1097.1</f>
        <v>4858.2</v>
      </c>
      <c r="I543" s="43">
        <f>G543+H543</f>
        <v>4858.2</v>
      </c>
      <c r="K543" s="43">
        <f>I543+J543</f>
        <v>4858.2</v>
      </c>
      <c r="L543" s="56">
        <v>-230.9</v>
      </c>
      <c r="M543" s="43">
        <f>K543+L543</f>
        <v>4627.3</v>
      </c>
      <c r="N543" s="56"/>
      <c r="O543" s="73">
        <f>M543+N543</f>
        <v>4627.3</v>
      </c>
      <c r="Q543" s="73">
        <f>O543+P543</f>
        <v>4627.3</v>
      </c>
    </row>
    <row r="544" spans="1:17" x14ac:dyDescent="0.25">
      <c r="A544" s="19" t="s">
        <v>208</v>
      </c>
      <c r="B544" s="38"/>
      <c r="C544" s="38" t="s">
        <v>15</v>
      </c>
      <c r="D544" s="38" t="s">
        <v>185</v>
      </c>
      <c r="E544" s="38" t="s">
        <v>259</v>
      </c>
      <c r="F544" s="38" t="s">
        <v>209</v>
      </c>
      <c r="G544" s="43">
        <f>106</f>
        <v>106</v>
      </c>
      <c r="I544" s="43">
        <f>G544+H544</f>
        <v>106</v>
      </c>
      <c r="K544" s="43">
        <f>I544+J544</f>
        <v>106</v>
      </c>
      <c r="L544" s="56"/>
      <c r="M544" s="43">
        <f>K544+L544</f>
        <v>106</v>
      </c>
      <c r="N544" s="56"/>
      <c r="O544" s="73">
        <f>M544+N544</f>
        <v>106</v>
      </c>
      <c r="Q544" s="73">
        <f>O544+P544</f>
        <v>106</v>
      </c>
    </row>
    <row r="545" spans="1:17" x14ac:dyDescent="0.25">
      <c r="A545" s="41" t="s">
        <v>224</v>
      </c>
      <c r="B545" s="38"/>
      <c r="C545" s="38" t="s">
        <v>15</v>
      </c>
      <c r="D545" s="38" t="s">
        <v>185</v>
      </c>
      <c r="E545" s="38" t="s">
        <v>259</v>
      </c>
      <c r="F545" s="38" t="s">
        <v>210</v>
      </c>
      <c r="G545" s="43">
        <v>20</v>
      </c>
      <c r="I545" s="43">
        <f>G545+H545</f>
        <v>20</v>
      </c>
      <c r="K545" s="43">
        <f>I545+J545</f>
        <v>20</v>
      </c>
      <c r="L545" s="56"/>
      <c r="M545" s="43">
        <f>K545+L545</f>
        <v>20</v>
      </c>
      <c r="N545" s="56"/>
      <c r="O545" s="73">
        <f>M545+N545</f>
        <v>20</v>
      </c>
      <c r="Q545" s="73">
        <f>O545+P545</f>
        <v>20</v>
      </c>
    </row>
    <row r="546" spans="1:17" x14ac:dyDescent="0.25">
      <c r="A546" s="47" t="s">
        <v>318</v>
      </c>
      <c r="B546" s="38"/>
      <c r="C546" s="38" t="s">
        <v>15</v>
      </c>
      <c r="D546" s="38" t="s">
        <v>185</v>
      </c>
      <c r="E546" s="38" t="s">
        <v>259</v>
      </c>
      <c r="F546" s="38" t="s">
        <v>317</v>
      </c>
      <c r="G546" s="43"/>
      <c r="I546" s="43">
        <f>G546+H546</f>
        <v>0</v>
      </c>
      <c r="K546" s="43">
        <f>I546+J546</f>
        <v>0</v>
      </c>
      <c r="L546" s="56"/>
      <c r="M546" s="43">
        <f>K546+L546</f>
        <v>0</v>
      </c>
      <c r="N546" s="56"/>
      <c r="O546" s="73">
        <f>M546+N546</f>
        <v>0</v>
      </c>
      <c r="Q546" s="73">
        <f>O546+P546</f>
        <v>0</v>
      </c>
    </row>
    <row r="547" spans="1:17" x14ac:dyDescent="0.25">
      <c r="A547" s="47" t="s">
        <v>300</v>
      </c>
      <c r="B547" s="38"/>
      <c r="C547" s="38" t="s">
        <v>15</v>
      </c>
      <c r="D547" s="38" t="s">
        <v>185</v>
      </c>
      <c r="E547" s="38" t="s">
        <v>259</v>
      </c>
      <c r="F547" s="38" t="s">
        <v>299</v>
      </c>
      <c r="G547" s="43"/>
      <c r="I547" s="43">
        <f>G547+H547</f>
        <v>0</v>
      </c>
      <c r="K547" s="43">
        <f>I547+J547</f>
        <v>0</v>
      </c>
      <c r="L547" s="56"/>
      <c r="M547" s="43">
        <f>K547+L547</f>
        <v>0</v>
      </c>
      <c r="N547" s="56"/>
      <c r="O547" s="73">
        <f>M547+N547</f>
        <v>0</v>
      </c>
      <c r="Q547" s="73">
        <f>O547+P547</f>
        <v>0</v>
      </c>
    </row>
    <row r="548" spans="1:17" ht="31.5" x14ac:dyDescent="0.25">
      <c r="A548" s="19" t="s">
        <v>34</v>
      </c>
      <c r="B548" s="38"/>
      <c r="C548" s="38" t="s">
        <v>15</v>
      </c>
      <c r="D548" s="38" t="s">
        <v>185</v>
      </c>
      <c r="E548" s="38" t="s">
        <v>214</v>
      </c>
      <c r="F548" s="38"/>
      <c r="G548" s="43"/>
      <c r="I548" s="43"/>
      <c r="K548" s="43"/>
      <c r="L548" s="56"/>
      <c r="M548" s="43">
        <f>M549</f>
        <v>500</v>
      </c>
      <c r="N548" s="56"/>
      <c r="O548" s="73">
        <f>O549</f>
        <v>500</v>
      </c>
      <c r="Q548" s="73">
        <f>Q549</f>
        <v>500</v>
      </c>
    </row>
    <row r="549" spans="1:17" x14ac:dyDescent="0.25">
      <c r="A549" s="41" t="s">
        <v>224</v>
      </c>
      <c r="B549" s="38"/>
      <c r="C549" s="38" t="s">
        <v>15</v>
      </c>
      <c r="D549" s="38" t="s">
        <v>185</v>
      </c>
      <c r="E549" s="38" t="s">
        <v>214</v>
      </c>
      <c r="F549" s="38" t="s">
        <v>210</v>
      </c>
      <c r="G549" s="43"/>
      <c r="I549" s="43"/>
      <c r="K549" s="43"/>
      <c r="L549" s="56">
        <v>500</v>
      </c>
      <c r="M549" s="43">
        <f>K549+L549</f>
        <v>500</v>
      </c>
      <c r="N549" s="56"/>
      <c r="O549" s="73">
        <f>M549+N549</f>
        <v>500</v>
      </c>
      <c r="Q549" s="73">
        <f>O549+P549</f>
        <v>500</v>
      </c>
    </row>
    <row r="550" spans="1:17" x14ac:dyDescent="0.25">
      <c r="A550" s="40" t="s">
        <v>447</v>
      </c>
      <c r="B550" s="35" t="s">
        <v>455</v>
      </c>
      <c r="C550" s="35"/>
      <c r="D550" s="35"/>
      <c r="E550" s="35"/>
      <c r="F550" s="35"/>
      <c r="G550" s="44">
        <f>G551</f>
        <v>3896</v>
      </c>
      <c r="I550" s="44">
        <f>I551</f>
        <v>3896</v>
      </c>
      <c r="K550" s="44">
        <f>K551</f>
        <v>3896</v>
      </c>
      <c r="L550" s="56"/>
      <c r="M550" s="44">
        <f>M551</f>
        <v>3091</v>
      </c>
      <c r="N550" s="56"/>
      <c r="O550" s="72">
        <f>O551</f>
        <v>3091</v>
      </c>
      <c r="Q550" s="72">
        <f>Q551</f>
        <v>3091</v>
      </c>
    </row>
    <row r="551" spans="1:17" x14ac:dyDescent="0.25">
      <c r="A551" s="40" t="s">
        <v>129</v>
      </c>
      <c r="B551" s="35"/>
      <c r="C551" s="35" t="s">
        <v>15</v>
      </c>
      <c r="D551" s="35"/>
      <c r="E551" s="38"/>
      <c r="F551" s="38"/>
      <c r="G551" s="43">
        <f>G552</f>
        <v>3896</v>
      </c>
      <c r="I551" s="43">
        <f>I552</f>
        <v>3896</v>
      </c>
      <c r="K551" s="43">
        <f>K552</f>
        <v>3896</v>
      </c>
      <c r="L551" s="56"/>
      <c r="M551" s="43">
        <f>M552</f>
        <v>3091</v>
      </c>
      <c r="N551" s="56"/>
      <c r="O551" s="73">
        <f>O552</f>
        <v>3091</v>
      </c>
      <c r="Q551" s="73">
        <f>Q552</f>
        <v>3091</v>
      </c>
    </row>
    <row r="552" spans="1:17" x14ac:dyDescent="0.25">
      <c r="A552" s="40" t="s">
        <v>29</v>
      </c>
      <c r="B552" s="35"/>
      <c r="C552" s="35" t="s">
        <v>15</v>
      </c>
      <c r="D552" s="35" t="s">
        <v>185</v>
      </c>
      <c r="E552" s="38"/>
      <c r="F552" s="38"/>
      <c r="G552" s="43">
        <f>G553</f>
        <v>3896</v>
      </c>
      <c r="I552" s="43">
        <f>I553</f>
        <v>3896</v>
      </c>
      <c r="K552" s="43">
        <f>K553</f>
        <v>3896</v>
      </c>
      <c r="L552" s="56"/>
      <c r="M552" s="43">
        <f>M553</f>
        <v>3091</v>
      </c>
      <c r="N552" s="56"/>
      <c r="O552" s="73">
        <f>O553</f>
        <v>3091</v>
      </c>
      <c r="Q552" s="73">
        <f>Q553</f>
        <v>3091</v>
      </c>
    </row>
    <row r="553" spans="1:17" x14ac:dyDescent="0.25">
      <c r="A553" s="39" t="s">
        <v>260</v>
      </c>
      <c r="B553" s="38"/>
      <c r="C553" s="38" t="s">
        <v>15</v>
      </c>
      <c r="D553" s="38" t="s">
        <v>185</v>
      </c>
      <c r="E553" s="38" t="s">
        <v>259</v>
      </c>
      <c r="F553" s="38"/>
      <c r="G553" s="43">
        <f>G554+G556+G555+G557+G558</f>
        <v>3896</v>
      </c>
      <c r="I553" s="43">
        <f>I554+I556+I555+I557+I558</f>
        <v>3896</v>
      </c>
      <c r="K553" s="43">
        <f>K554+K556+K555+K557+K558</f>
        <v>3896</v>
      </c>
      <c r="L553" s="56"/>
      <c r="M553" s="43">
        <f>M554+M556+M555+M557+M558</f>
        <v>3091</v>
      </c>
      <c r="N553" s="56"/>
      <c r="O553" s="73">
        <f>O554+O556+O555+O557+O558</f>
        <v>3091</v>
      </c>
      <c r="Q553" s="73">
        <f>Q554+Q556+Q555+Q557+Q558</f>
        <v>3091</v>
      </c>
    </row>
    <row r="554" spans="1:17" x14ac:dyDescent="0.25">
      <c r="A554" s="19" t="s">
        <v>204</v>
      </c>
      <c r="B554" s="38"/>
      <c r="C554" s="38" t="s">
        <v>15</v>
      </c>
      <c r="D554" s="38" t="s">
        <v>185</v>
      </c>
      <c r="E554" s="38" t="s">
        <v>259</v>
      </c>
      <c r="F554" s="38" t="s">
        <v>394</v>
      </c>
      <c r="G554" s="43">
        <f>2307.3+678.7</f>
        <v>2986</v>
      </c>
      <c r="I554" s="43">
        <f>G554+H554</f>
        <v>2986</v>
      </c>
      <c r="K554" s="43">
        <f>I554+J554</f>
        <v>2986</v>
      </c>
      <c r="L554" s="56">
        <f>-241.6-563.4</f>
        <v>-805</v>
      </c>
      <c r="M554" s="43">
        <f>K554+L554</f>
        <v>2181</v>
      </c>
      <c r="N554" s="56"/>
      <c r="O554" s="73">
        <f>M554+N554</f>
        <v>2181</v>
      </c>
      <c r="Q554" s="73">
        <f>O554+P554</f>
        <v>2181</v>
      </c>
    </row>
    <row r="555" spans="1:17" x14ac:dyDescent="0.25">
      <c r="A555" s="19" t="s">
        <v>208</v>
      </c>
      <c r="B555" s="38"/>
      <c r="C555" s="38" t="s">
        <v>15</v>
      </c>
      <c r="D555" s="38" t="s">
        <v>185</v>
      </c>
      <c r="E555" s="38" t="s">
        <v>259</v>
      </c>
      <c r="F555" s="38" t="s">
        <v>209</v>
      </c>
      <c r="G555" s="43">
        <f>80+500+150+135</f>
        <v>865</v>
      </c>
      <c r="I555" s="43">
        <f>G555+H555</f>
        <v>865</v>
      </c>
      <c r="K555" s="43">
        <f>I555+J555</f>
        <v>865</v>
      </c>
      <c r="L555" s="56">
        <v>-1</v>
      </c>
      <c r="M555" s="43">
        <f>K555+L555</f>
        <v>864</v>
      </c>
      <c r="N555" s="56"/>
      <c r="O555" s="73">
        <f>M555+N555</f>
        <v>864</v>
      </c>
      <c r="Q555" s="73">
        <f>O555+P555</f>
        <v>864</v>
      </c>
    </row>
    <row r="556" spans="1:17" x14ac:dyDescent="0.25">
      <c r="A556" s="41" t="s">
        <v>224</v>
      </c>
      <c r="B556" s="38"/>
      <c r="C556" s="38" t="s">
        <v>15</v>
      </c>
      <c r="D556" s="38" t="s">
        <v>185</v>
      </c>
      <c r="E556" s="38" t="s">
        <v>259</v>
      </c>
      <c r="F556" s="38" t="s">
        <v>210</v>
      </c>
      <c r="G556" s="43">
        <f>25+20</f>
        <v>45</v>
      </c>
      <c r="I556" s="43">
        <f>G556+H556</f>
        <v>45</v>
      </c>
      <c r="K556" s="43">
        <f>I556+J556</f>
        <v>45</v>
      </c>
      <c r="L556" s="56"/>
      <c r="M556" s="43">
        <f>K556+L556</f>
        <v>45</v>
      </c>
      <c r="N556" s="56"/>
      <c r="O556" s="73">
        <f>M556+N556</f>
        <v>45</v>
      </c>
      <c r="Q556" s="73">
        <f>O556+P556</f>
        <v>45</v>
      </c>
    </row>
    <row r="557" spans="1:17" x14ac:dyDescent="0.25">
      <c r="A557" s="47" t="s">
        <v>318</v>
      </c>
      <c r="B557" s="38"/>
      <c r="C557" s="38" t="s">
        <v>15</v>
      </c>
      <c r="D557" s="38" t="s">
        <v>185</v>
      </c>
      <c r="E557" s="38" t="s">
        <v>259</v>
      </c>
      <c r="F557" s="38" t="s">
        <v>317</v>
      </c>
      <c r="G557" s="43"/>
      <c r="I557" s="43">
        <f>G557+H557</f>
        <v>0</v>
      </c>
      <c r="K557" s="43">
        <f>I557+J557</f>
        <v>0</v>
      </c>
      <c r="L557" s="66">
        <v>1</v>
      </c>
      <c r="M557" s="43">
        <f>K557+L557</f>
        <v>1</v>
      </c>
      <c r="N557" s="66"/>
      <c r="O557" s="73">
        <f>M557+N557</f>
        <v>1</v>
      </c>
      <c r="Q557" s="73">
        <f>O557+P557</f>
        <v>1</v>
      </c>
    </row>
    <row r="558" spans="1:17" hidden="1" x14ac:dyDescent="0.25">
      <c r="A558" s="47" t="s">
        <v>300</v>
      </c>
      <c r="B558" s="38"/>
      <c r="C558" s="38" t="s">
        <v>15</v>
      </c>
      <c r="D558" s="38" t="s">
        <v>185</v>
      </c>
      <c r="E558" s="38" t="s">
        <v>259</v>
      </c>
      <c r="F558" s="38" t="s">
        <v>299</v>
      </c>
      <c r="G558" s="43"/>
      <c r="I558" s="43">
        <f>G558+H558</f>
        <v>0</v>
      </c>
      <c r="K558" s="43">
        <f>I558+J558</f>
        <v>0</v>
      </c>
      <c r="L558" s="56"/>
      <c r="M558" s="43">
        <f>K558+L558</f>
        <v>0</v>
      </c>
      <c r="N558" s="56"/>
      <c r="O558" s="73">
        <f>M558+N558</f>
        <v>0</v>
      </c>
      <c r="Q558" s="73">
        <f>O558+P558</f>
        <v>0</v>
      </c>
    </row>
    <row r="559" spans="1:17" ht="17.25" customHeight="1" x14ac:dyDescent="0.25">
      <c r="A559" s="105" t="s">
        <v>319</v>
      </c>
      <c r="B559" s="106"/>
      <c r="C559" s="106"/>
      <c r="D559" s="106"/>
      <c r="E559" s="106"/>
      <c r="F559" s="106"/>
      <c r="G559" s="44" t="e">
        <f>G16+G159+G173+G326+G373+G382+G396+G406+G498+G508+G539+G550</f>
        <v>#REF!</v>
      </c>
      <c r="H559" s="56">
        <f>SUM(H16:H558)</f>
        <v>5972.59</v>
      </c>
      <c r="I559" s="44" t="e">
        <f>I16+I159+I173+I326+I373+I382+I396+I406+I498+I508+I539+I550</f>
        <v>#REF!</v>
      </c>
      <c r="J559" s="56">
        <f>SUM(J16:J558)</f>
        <v>0</v>
      </c>
      <c r="K559" s="44" t="e">
        <f>K16+K159+K173+K326+K373+K382+K396+K406+K498+K508+K539+K550</f>
        <v>#REF!</v>
      </c>
      <c r="L559" s="66">
        <f>SUM(L16:L558)</f>
        <v>94890.639999999985</v>
      </c>
      <c r="M559" s="44">
        <f>M16+M159+M173+M326+M373+M382+M396+M406+M498+M508+M539+M550</f>
        <v>394518.77</v>
      </c>
      <c r="N559" s="66">
        <f>SUM(N16:N558)</f>
        <v>194413.08</v>
      </c>
      <c r="O559" s="72">
        <f>O16+O159+O173+O326+O373+O382+O396+O406+O498+O508+O539+O550</f>
        <v>588931.85</v>
      </c>
      <c r="P559" s="30">
        <f>SUM(P16:P558)</f>
        <v>13357.99</v>
      </c>
      <c r="Q559" s="72">
        <f>Q16+Q159+Q173+Q326+Q373+Q382+Q396+Q406+Q498+Q508+Q539+Q550</f>
        <v>609289.84</v>
      </c>
    </row>
    <row r="560" spans="1:17" x14ac:dyDescent="0.25">
      <c r="A560" s="33"/>
      <c r="B560" s="32"/>
      <c r="C560" s="32"/>
      <c r="D560" s="32"/>
      <c r="E560" s="32"/>
      <c r="F560" s="32"/>
    </row>
    <row r="561" spans="1:6" x14ac:dyDescent="0.25">
      <c r="A561" s="33"/>
      <c r="B561" s="32"/>
      <c r="C561" s="32"/>
      <c r="D561" s="32"/>
      <c r="E561" s="32"/>
      <c r="F561" s="32"/>
    </row>
    <row r="562" spans="1:6" x14ac:dyDescent="0.25">
      <c r="A562" s="33"/>
      <c r="B562" s="32"/>
      <c r="C562" s="32"/>
      <c r="D562" s="32"/>
      <c r="E562" s="32"/>
      <c r="F562" s="32"/>
    </row>
    <row r="563" spans="1:6" x14ac:dyDescent="0.25">
      <c r="A563" s="33"/>
      <c r="B563" s="32"/>
      <c r="C563" s="32"/>
      <c r="D563" s="32"/>
      <c r="E563" s="32"/>
      <c r="F563" s="32"/>
    </row>
    <row r="564" spans="1:6" x14ac:dyDescent="0.25">
      <c r="A564" s="33"/>
      <c r="B564" s="32"/>
      <c r="C564" s="32"/>
      <c r="D564" s="32"/>
      <c r="E564" s="32"/>
      <c r="F564" s="32"/>
    </row>
    <row r="565" spans="1:6" x14ac:dyDescent="0.25">
      <c r="A565" s="33"/>
      <c r="B565" s="32"/>
      <c r="C565" s="32"/>
      <c r="D565" s="32"/>
      <c r="E565" s="32"/>
      <c r="F565" s="32"/>
    </row>
    <row r="566" spans="1:6" x14ac:dyDescent="0.25">
      <c r="A566" s="33"/>
      <c r="B566" s="32"/>
      <c r="C566" s="32"/>
      <c r="D566" s="32"/>
      <c r="E566" s="32"/>
      <c r="F566" s="32"/>
    </row>
    <row r="567" spans="1:6" x14ac:dyDescent="0.25">
      <c r="A567" s="33"/>
      <c r="B567" s="32"/>
      <c r="C567" s="32"/>
      <c r="D567" s="32"/>
      <c r="E567" s="32"/>
      <c r="F567" s="32"/>
    </row>
    <row r="568" spans="1:6" x14ac:dyDescent="0.25">
      <c r="A568" s="33"/>
      <c r="B568" s="32"/>
      <c r="C568" s="32"/>
      <c r="D568" s="32"/>
      <c r="E568" s="32"/>
      <c r="F568" s="32"/>
    </row>
    <row r="569" spans="1:6" x14ac:dyDescent="0.25">
      <c r="A569" s="33"/>
      <c r="B569" s="32"/>
      <c r="C569" s="32"/>
      <c r="D569" s="32"/>
      <c r="E569" s="32"/>
      <c r="F569" s="32"/>
    </row>
    <row r="570" spans="1:6" x14ac:dyDescent="0.25">
      <c r="A570" s="33"/>
      <c r="B570" s="32"/>
      <c r="C570" s="32"/>
      <c r="D570" s="32"/>
      <c r="E570" s="32"/>
      <c r="F570" s="32"/>
    </row>
    <row r="571" spans="1:6" x14ac:dyDescent="0.25">
      <c r="A571" s="33"/>
      <c r="B571" s="32"/>
      <c r="C571" s="32"/>
      <c r="D571" s="32"/>
      <c r="E571" s="32"/>
      <c r="F571" s="32"/>
    </row>
    <row r="572" spans="1:6" x14ac:dyDescent="0.25">
      <c r="A572" s="33"/>
      <c r="B572" s="32"/>
      <c r="C572" s="32"/>
      <c r="D572" s="32"/>
      <c r="E572" s="32"/>
      <c r="F572" s="32"/>
    </row>
    <row r="573" spans="1:6" x14ac:dyDescent="0.25">
      <c r="A573" s="33"/>
      <c r="B573" s="32"/>
      <c r="C573" s="32"/>
      <c r="D573" s="32"/>
      <c r="E573" s="32"/>
      <c r="F573" s="32"/>
    </row>
    <row r="574" spans="1:6" x14ac:dyDescent="0.25">
      <c r="A574" s="33"/>
      <c r="B574" s="32"/>
      <c r="C574" s="32"/>
      <c r="D574" s="32"/>
      <c r="E574" s="32"/>
      <c r="F574" s="32"/>
    </row>
    <row r="575" spans="1:6" x14ac:dyDescent="0.25">
      <c r="A575" s="33"/>
      <c r="B575" s="32"/>
      <c r="C575" s="32"/>
      <c r="D575" s="32"/>
      <c r="E575" s="32"/>
      <c r="F575" s="32"/>
    </row>
    <row r="576" spans="1:6" x14ac:dyDescent="0.25">
      <c r="A576" s="33"/>
      <c r="B576" s="32"/>
      <c r="C576" s="32"/>
      <c r="D576" s="32"/>
      <c r="E576" s="32"/>
      <c r="F576" s="32"/>
    </row>
    <row r="577" spans="1:6" x14ac:dyDescent="0.25">
      <c r="A577" s="33"/>
      <c r="B577" s="32"/>
      <c r="C577" s="32"/>
      <c r="D577" s="32"/>
      <c r="E577" s="32"/>
      <c r="F577" s="32"/>
    </row>
    <row r="578" spans="1:6" x14ac:dyDescent="0.25">
      <c r="A578" s="33"/>
      <c r="B578" s="32"/>
      <c r="C578" s="32"/>
      <c r="D578" s="32"/>
      <c r="E578" s="32"/>
      <c r="F578" s="32"/>
    </row>
    <row r="579" spans="1:6" x14ac:dyDescent="0.25">
      <c r="A579" s="33"/>
      <c r="B579" s="32"/>
      <c r="C579" s="32"/>
      <c r="D579" s="32"/>
      <c r="E579" s="32"/>
      <c r="F579" s="32"/>
    </row>
    <row r="580" spans="1:6" x14ac:dyDescent="0.25">
      <c r="A580" s="33"/>
      <c r="B580" s="32"/>
      <c r="C580" s="32"/>
      <c r="D580" s="32"/>
      <c r="E580" s="32"/>
      <c r="F580" s="32"/>
    </row>
    <row r="581" spans="1:6" x14ac:dyDescent="0.25">
      <c r="A581" s="33"/>
      <c r="B581" s="32"/>
      <c r="C581" s="32"/>
      <c r="D581" s="32"/>
      <c r="E581" s="32"/>
      <c r="F581" s="32"/>
    </row>
    <row r="582" spans="1:6" x14ac:dyDescent="0.25">
      <c r="A582" s="33"/>
      <c r="B582" s="32"/>
      <c r="C582" s="32"/>
      <c r="D582" s="32"/>
      <c r="E582" s="32"/>
      <c r="F582" s="32"/>
    </row>
    <row r="583" spans="1:6" x14ac:dyDescent="0.25">
      <c r="A583" s="33"/>
      <c r="B583" s="32"/>
      <c r="C583" s="32"/>
      <c r="D583" s="32"/>
      <c r="E583" s="32"/>
      <c r="F583" s="32"/>
    </row>
    <row r="584" spans="1:6" x14ac:dyDescent="0.25">
      <c r="A584" s="33"/>
      <c r="B584" s="32"/>
      <c r="C584" s="32"/>
      <c r="D584" s="32"/>
      <c r="E584" s="32"/>
      <c r="F584" s="32"/>
    </row>
    <row r="585" spans="1:6" x14ac:dyDescent="0.25">
      <c r="A585" s="33"/>
      <c r="B585" s="32"/>
      <c r="C585" s="32"/>
      <c r="D585" s="32"/>
      <c r="E585" s="32"/>
      <c r="F585" s="32"/>
    </row>
    <row r="586" spans="1:6" x14ac:dyDescent="0.25">
      <c r="A586" s="33"/>
      <c r="B586" s="32"/>
      <c r="C586" s="32"/>
      <c r="D586" s="32"/>
      <c r="E586" s="32"/>
      <c r="F586" s="32"/>
    </row>
    <row r="587" spans="1:6" x14ac:dyDescent="0.25">
      <c r="A587" s="33"/>
      <c r="B587" s="32"/>
      <c r="C587" s="32"/>
      <c r="D587" s="32"/>
      <c r="E587" s="32"/>
      <c r="F587" s="32"/>
    </row>
    <row r="588" spans="1:6" x14ac:dyDescent="0.25">
      <c r="B588" s="32"/>
      <c r="C588" s="32"/>
      <c r="D588" s="32"/>
      <c r="E588" s="32"/>
      <c r="F588" s="32"/>
    </row>
    <row r="589" spans="1:6" x14ac:dyDescent="0.25">
      <c r="B589" s="32"/>
      <c r="C589" s="32"/>
      <c r="D589" s="32"/>
      <c r="E589" s="32"/>
      <c r="F589" s="32"/>
    </row>
    <row r="590" spans="1:6" x14ac:dyDescent="0.25">
      <c r="B590" s="32"/>
      <c r="C590" s="32"/>
      <c r="D590" s="32"/>
      <c r="E590" s="32"/>
      <c r="F590" s="32"/>
    </row>
    <row r="591" spans="1:6" x14ac:dyDescent="0.25">
      <c r="B591" s="32"/>
      <c r="C591" s="32"/>
      <c r="D591" s="32"/>
      <c r="E591" s="32"/>
      <c r="F591" s="32"/>
    </row>
    <row r="592" spans="1:6" x14ac:dyDescent="0.25">
      <c r="B592" s="32"/>
      <c r="C592" s="32"/>
      <c r="D592" s="32"/>
      <c r="E592" s="32"/>
      <c r="F592" s="32"/>
    </row>
    <row r="593" spans="2:6" x14ac:dyDescent="0.25">
      <c r="B593" s="32"/>
      <c r="C593" s="32"/>
      <c r="D593" s="32"/>
      <c r="E593" s="32"/>
      <c r="F593" s="32"/>
    </row>
    <row r="594" spans="2:6" x14ac:dyDescent="0.25">
      <c r="B594" s="32"/>
      <c r="C594" s="32"/>
      <c r="D594" s="32"/>
      <c r="E594" s="32"/>
      <c r="F594" s="32"/>
    </row>
    <row r="595" spans="2:6" x14ac:dyDescent="0.25">
      <c r="B595" s="32"/>
      <c r="C595" s="32"/>
      <c r="D595" s="32"/>
      <c r="E595" s="32"/>
      <c r="F595" s="32"/>
    </row>
    <row r="596" spans="2:6" x14ac:dyDescent="0.25">
      <c r="B596" s="32"/>
      <c r="C596" s="32"/>
      <c r="D596" s="32"/>
      <c r="E596" s="32"/>
      <c r="F596" s="32"/>
    </row>
    <row r="597" spans="2:6" x14ac:dyDescent="0.25">
      <c r="B597" s="32"/>
      <c r="C597" s="32"/>
      <c r="D597" s="32"/>
      <c r="E597" s="32"/>
      <c r="F597" s="32"/>
    </row>
    <row r="598" spans="2:6" x14ac:dyDescent="0.25">
      <c r="B598" s="32"/>
      <c r="C598" s="32"/>
      <c r="D598" s="32"/>
      <c r="E598" s="32"/>
      <c r="F598" s="32"/>
    </row>
    <row r="599" spans="2:6" x14ac:dyDescent="0.25">
      <c r="B599" s="32"/>
      <c r="C599" s="32"/>
      <c r="D599" s="32"/>
      <c r="E599" s="32"/>
      <c r="F599" s="32"/>
    </row>
    <row r="600" spans="2:6" x14ac:dyDescent="0.25">
      <c r="B600" s="32"/>
      <c r="C600" s="32"/>
      <c r="D600" s="32"/>
      <c r="E600" s="32"/>
      <c r="F600" s="32"/>
    </row>
    <row r="601" spans="2:6" x14ac:dyDescent="0.25">
      <c r="B601" s="32"/>
      <c r="C601" s="32"/>
      <c r="D601" s="32"/>
      <c r="E601" s="32"/>
      <c r="F601" s="32"/>
    </row>
    <row r="602" spans="2:6" x14ac:dyDescent="0.25">
      <c r="B602" s="32"/>
      <c r="C602" s="32"/>
      <c r="D602" s="32"/>
      <c r="E602" s="32"/>
      <c r="F602" s="32"/>
    </row>
    <row r="603" spans="2:6" x14ac:dyDescent="0.25">
      <c r="B603" s="32"/>
      <c r="C603" s="32"/>
      <c r="D603" s="32"/>
      <c r="E603" s="32"/>
      <c r="F603" s="32"/>
    </row>
    <row r="604" spans="2:6" x14ac:dyDescent="0.25">
      <c r="B604" s="32"/>
      <c r="C604" s="32"/>
      <c r="D604" s="32"/>
      <c r="E604" s="32"/>
      <c r="F604" s="32"/>
    </row>
    <row r="605" spans="2:6" x14ac:dyDescent="0.25">
      <c r="B605" s="32"/>
      <c r="C605" s="32"/>
      <c r="D605" s="32"/>
      <c r="E605" s="32"/>
      <c r="F605" s="32"/>
    </row>
    <row r="606" spans="2:6" x14ac:dyDescent="0.25">
      <c r="B606" s="32"/>
      <c r="C606" s="32"/>
      <c r="D606" s="32"/>
      <c r="E606" s="32"/>
      <c r="F606" s="32"/>
    </row>
    <row r="607" spans="2:6" x14ac:dyDescent="0.25">
      <c r="B607" s="32"/>
      <c r="C607" s="32"/>
      <c r="D607" s="32"/>
      <c r="E607" s="32"/>
      <c r="F607" s="32"/>
    </row>
    <row r="608" spans="2:6" x14ac:dyDescent="0.25">
      <c r="B608" s="32"/>
      <c r="C608" s="32"/>
      <c r="D608" s="32"/>
      <c r="E608" s="32"/>
      <c r="F608" s="32"/>
    </row>
    <row r="609" spans="2:6" x14ac:dyDescent="0.25">
      <c r="B609" s="32"/>
      <c r="C609" s="32"/>
      <c r="D609" s="32"/>
      <c r="E609" s="32"/>
      <c r="F609" s="32"/>
    </row>
    <row r="610" spans="2:6" x14ac:dyDescent="0.25">
      <c r="B610" s="32"/>
      <c r="C610" s="32"/>
      <c r="D610" s="32"/>
      <c r="E610" s="32"/>
      <c r="F610" s="32"/>
    </row>
    <row r="611" spans="2:6" x14ac:dyDescent="0.25">
      <c r="B611" s="32"/>
      <c r="C611" s="32"/>
      <c r="D611" s="32"/>
      <c r="E611" s="32"/>
      <c r="F611" s="32"/>
    </row>
    <row r="612" spans="2:6" x14ac:dyDescent="0.25">
      <c r="B612" s="32"/>
      <c r="C612" s="32"/>
      <c r="D612" s="32"/>
      <c r="E612" s="32"/>
      <c r="F612" s="32"/>
    </row>
    <row r="613" spans="2:6" x14ac:dyDescent="0.25">
      <c r="B613" s="32"/>
      <c r="C613" s="32"/>
      <c r="D613" s="32"/>
      <c r="E613" s="32"/>
      <c r="F613" s="32"/>
    </row>
    <row r="614" spans="2:6" x14ac:dyDescent="0.25">
      <c r="B614" s="32"/>
      <c r="C614" s="32"/>
      <c r="D614" s="32"/>
      <c r="E614" s="32"/>
      <c r="F614" s="32"/>
    </row>
    <row r="615" spans="2:6" x14ac:dyDescent="0.25">
      <c r="B615" s="32"/>
      <c r="C615" s="32"/>
      <c r="D615" s="32"/>
      <c r="E615" s="32"/>
      <c r="F615" s="32"/>
    </row>
    <row r="616" spans="2:6" x14ac:dyDescent="0.25">
      <c r="B616" s="32"/>
      <c r="C616" s="32"/>
      <c r="D616" s="32"/>
      <c r="E616" s="32"/>
      <c r="F616" s="32"/>
    </row>
    <row r="617" spans="2:6" x14ac:dyDescent="0.25">
      <c r="B617" s="32"/>
      <c r="C617" s="32"/>
      <c r="D617" s="32"/>
      <c r="E617" s="32"/>
      <c r="F617" s="32"/>
    </row>
    <row r="618" spans="2:6" x14ac:dyDescent="0.25">
      <c r="B618" s="32"/>
      <c r="C618" s="32"/>
      <c r="D618" s="32"/>
      <c r="E618" s="32"/>
      <c r="F618" s="32"/>
    </row>
    <row r="619" spans="2:6" x14ac:dyDescent="0.25">
      <c r="B619" s="32"/>
      <c r="C619" s="32"/>
      <c r="D619" s="32"/>
      <c r="E619" s="32"/>
      <c r="F619" s="32"/>
    </row>
    <row r="620" spans="2:6" x14ac:dyDescent="0.25">
      <c r="B620" s="32"/>
      <c r="C620" s="32"/>
      <c r="D620" s="32"/>
      <c r="E620" s="32"/>
      <c r="F620" s="32"/>
    </row>
    <row r="621" spans="2:6" x14ac:dyDescent="0.25">
      <c r="B621" s="32"/>
      <c r="C621" s="32"/>
      <c r="D621" s="32"/>
      <c r="E621" s="32"/>
      <c r="F621" s="32"/>
    </row>
    <row r="622" spans="2:6" x14ac:dyDescent="0.25">
      <c r="B622" s="32"/>
      <c r="C622" s="32"/>
      <c r="D622" s="32"/>
      <c r="E622" s="32"/>
      <c r="F622" s="32"/>
    </row>
    <row r="623" spans="2:6" x14ac:dyDescent="0.25">
      <c r="B623" s="32"/>
      <c r="C623" s="32"/>
      <c r="D623" s="32"/>
      <c r="E623" s="32"/>
      <c r="F623" s="32"/>
    </row>
    <row r="624" spans="2:6" x14ac:dyDescent="0.25">
      <c r="B624" s="32"/>
      <c r="C624" s="32"/>
      <c r="D624" s="32"/>
      <c r="E624" s="32"/>
      <c r="F624" s="32"/>
    </row>
    <row r="625" spans="2:6" x14ac:dyDescent="0.25">
      <c r="B625" s="32"/>
      <c r="C625" s="32"/>
      <c r="D625" s="32"/>
      <c r="E625" s="32"/>
      <c r="F625" s="32"/>
    </row>
    <row r="626" spans="2:6" x14ac:dyDescent="0.25">
      <c r="B626" s="32"/>
      <c r="C626" s="32"/>
      <c r="D626" s="32"/>
      <c r="E626" s="32"/>
      <c r="F626" s="32"/>
    </row>
    <row r="627" spans="2:6" x14ac:dyDescent="0.25">
      <c r="B627" s="32"/>
      <c r="C627" s="32"/>
      <c r="D627" s="32"/>
      <c r="E627" s="32"/>
      <c r="F627" s="32"/>
    </row>
    <row r="628" spans="2:6" x14ac:dyDescent="0.25">
      <c r="B628" s="32"/>
      <c r="C628" s="32"/>
      <c r="D628" s="32"/>
      <c r="E628" s="32"/>
      <c r="F628" s="32"/>
    </row>
    <row r="629" spans="2:6" x14ac:dyDescent="0.25">
      <c r="B629" s="32"/>
      <c r="C629" s="32"/>
      <c r="D629" s="32"/>
      <c r="E629" s="32"/>
      <c r="F629" s="32"/>
    </row>
    <row r="630" spans="2:6" x14ac:dyDescent="0.25">
      <c r="B630" s="32"/>
      <c r="C630" s="32"/>
      <c r="D630" s="32"/>
      <c r="E630" s="32"/>
      <c r="F630" s="32"/>
    </row>
    <row r="631" spans="2:6" x14ac:dyDescent="0.25">
      <c r="B631" s="32"/>
      <c r="C631" s="32"/>
      <c r="D631" s="32"/>
      <c r="E631" s="32"/>
      <c r="F631" s="32"/>
    </row>
    <row r="632" spans="2:6" x14ac:dyDescent="0.25">
      <c r="B632" s="32"/>
      <c r="C632" s="32"/>
      <c r="D632" s="32"/>
      <c r="E632" s="32"/>
      <c r="F632" s="32"/>
    </row>
    <row r="633" spans="2:6" x14ac:dyDescent="0.25">
      <c r="B633" s="32"/>
      <c r="C633" s="32"/>
      <c r="D633" s="32"/>
      <c r="E633" s="32"/>
      <c r="F633" s="32"/>
    </row>
    <row r="634" spans="2:6" x14ac:dyDescent="0.25">
      <c r="B634" s="32"/>
      <c r="C634" s="32"/>
      <c r="D634" s="32"/>
      <c r="E634" s="32"/>
      <c r="F634" s="32"/>
    </row>
    <row r="635" spans="2:6" x14ac:dyDescent="0.25">
      <c r="B635" s="32"/>
      <c r="C635" s="32"/>
      <c r="D635" s="32"/>
      <c r="E635" s="32"/>
      <c r="F635" s="32"/>
    </row>
    <row r="636" spans="2:6" x14ac:dyDescent="0.25">
      <c r="B636" s="32"/>
      <c r="C636" s="32"/>
      <c r="D636" s="32"/>
      <c r="E636" s="32"/>
      <c r="F636" s="32"/>
    </row>
    <row r="637" spans="2:6" x14ac:dyDescent="0.25">
      <c r="B637" s="32"/>
      <c r="C637" s="32"/>
      <c r="D637" s="32"/>
      <c r="E637" s="32"/>
      <c r="F637" s="32"/>
    </row>
    <row r="638" spans="2:6" x14ac:dyDescent="0.25">
      <c r="B638" s="32"/>
      <c r="C638" s="32"/>
      <c r="D638" s="32"/>
      <c r="E638" s="32"/>
      <c r="F638" s="32"/>
    </row>
    <row r="639" spans="2:6" x14ac:dyDescent="0.25">
      <c r="B639" s="32"/>
      <c r="C639" s="32"/>
      <c r="D639" s="32"/>
      <c r="E639" s="32"/>
      <c r="F639" s="32"/>
    </row>
    <row r="640" spans="2:6" x14ac:dyDescent="0.25">
      <c r="B640" s="32"/>
      <c r="C640" s="32"/>
      <c r="D640" s="32"/>
      <c r="E640" s="32"/>
      <c r="F640" s="32"/>
    </row>
    <row r="641" spans="2:6" x14ac:dyDescent="0.25">
      <c r="B641" s="32"/>
      <c r="C641" s="32"/>
      <c r="D641" s="32"/>
      <c r="E641" s="32"/>
      <c r="F641" s="32"/>
    </row>
    <row r="642" spans="2:6" x14ac:dyDescent="0.25">
      <c r="B642" s="32"/>
      <c r="C642" s="32"/>
      <c r="D642" s="32"/>
      <c r="E642" s="32"/>
      <c r="F642" s="32"/>
    </row>
    <row r="643" spans="2:6" x14ac:dyDescent="0.25">
      <c r="B643" s="32"/>
      <c r="C643" s="32"/>
      <c r="D643" s="32"/>
      <c r="E643" s="32"/>
      <c r="F643" s="32"/>
    </row>
    <row r="644" spans="2:6" x14ac:dyDescent="0.25">
      <c r="B644" s="32"/>
      <c r="C644" s="32"/>
      <c r="D644" s="32"/>
      <c r="E644" s="32"/>
      <c r="F644" s="32"/>
    </row>
    <row r="645" spans="2:6" x14ac:dyDescent="0.25">
      <c r="B645" s="32"/>
      <c r="C645" s="32"/>
      <c r="D645" s="32"/>
      <c r="E645" s="32"/>
      <c r="F645" s="32"/>
    </row>
    <row r="646" spans="2:6" x14ac:dyDescent="0.25">
      <c r="B646" s="32"/>
      <c r="C646" s="32"/>
      <c r="D646" s="32"/>
      <c r="E646" s="32"/>
      <c r="F646" s="32"/>
    </row>
    <row r="647" spans="2:6" x14ac:dyDescent="0.25">
      <c r="B647" s="32"/>
      <c r="C647" s="32"/>
      <c r="D647" s="32"/>
      <c r="E647" s="32"/>
      <c r="F647" s="32"/>
    </row>
    <row r="648" spans="2:6" x14ac:dyDescent="0.25">
      <c r="B648" s="32"/>
      <c r="C648" s="32"/>
      <c r="D648" s="32"/>
      <c r="E648" s="32"/>
      <c r="F648" s="32"/>
    </row>
    <row r="649" spans="2:6" x14ac:dyDescent="0.25">
      <c r="B649" s="32"/>
      <c r="C649" s="32"/>
      <c r="D649" s="32"/>
      <c r="E649" s="32"/>
      <c r="F649" s="32"/>
    </row>
    <row r="650" spans="2:6" x14ac:dyDescent="0.25">
      <c r="B650" s="32"/>
      <c r="C650" s="32"/>
      <c r="D650" s="32"/>
      <c r="E650" s="32"/>
      <c r="F650" s="32"/>
    </row>
    <row r="651" spans="2:6" x14ac:dyDescent="0.25">
      <c r="B651" s="32"/>
      <c r="C651" s="32"/>
      <c r="D651" s="32"/>
      <c r="E651" s="32"/>
      <c r="F651" s="32"/>
    </row>
    <row r="652" spans="2:6" x14ac:dyDescent="0.25">
      <c r="B652" s="32"/>
      <c r="C652" s="32"/>
      <c r="D652" s="32"/>
      <c r="E652" s="32"/>
      <c r="F652" s="32"/>
    </row>
    <row r="653" spans="2:6" x14ac:dyDescent="0.25">
      <c r="B653" s="32"/>
      <c r="C653" s="32"/>
      <c r="D653" s="32"/>
      <c r="E653" s="32"/>
      <c r="F653" s="32"/>
    </row>
    <row r="654" spans="2:6" x14ac:dyDescent="0.25">
      <c r="B654" s="32"/>
      <c r="C654" s="32"/>
      <c r="D654" s="32"/>
      <c r="E654" s="32"/>
      <c r="F654" s="32"/>
    </row>
    <row r="655" spans="2:6" x14ac:dyDescent="0.25">
      <c r="B655" s="32"/>
      <c r="C655" s="32"/>
      <c r="D655" s="32"/>
      <c r="E655" s="32"/>
      <c r="F655" s="32"/>
    </row>
    <row r="656" spans="2:6" x14ac:dyDescent="0.25">
      <c r="B656" s="32"/>
      <c r="C656" s="32"/>
      <c r="D656" s="32"/>
      <c r="E656" s="32"/>
      <c r="F656" s="32"/>
    </row>
    <row r="657" spans="2:6" x14ac:dyDescent="0.25">
      <c r="B657" s="32"/>
      <c r="C657" s="32"/>
      <c r="D657" s="32"/>
      <c r="E657" s="32"/>
      <c r="F657" s="32"/>
    </row>
    <row r="658" spans="2:6" x14ac:dyDescent="0.25">
      <c r="B658" s="32"/>
      <c r="C658" s="32"/>
      <c r="D658" s="32"/>
      <c r="E658" s="32"/>
      <c r="F658" s="32"/>
    </row>
    <row r="659" spans="2:6" x14ac:dyDescent="0.25">
      <c r="B659" s="32"/>
      <c r="C659" s="32"/>
      <c r="D659" s="32"/>
      <c r="E659" s="32"/>
      <c r="F659" s="32"/>
    </row>
    <row r="660" spans="2:6" x14ac:dyDescent="0.25">
      <c r="B660" s="32"/>
      <c r="C660" s="32"/>
      <c r="D660" s="32"/>
      <c r="E660" s="32"/>
      <c r="F660" s="32"/>
    </row>
    <row r="661" spans="2:6" x14ac:dyDescent="0.25">
      <c r="B661" s="32"/>
      <c r="C661" s="32"/>
      <c r="D661" s="32"/>
      <c r="E661" s="32"/>
      <c r="F661" s="32"/>
    </row>
    <row r="662" spans="2:6" x14ac:dyDescent="0.25">
      <c r="B662" s="32"/>
      <c r="C662" s="32"/>
      <c r="D662" s="32"/>
      <c r="E662" s="32"/>
      <c r="F662" s="32"/>
    </row>
    <row r="663" spans="2:6" x14ac:dyDescent="0.25">
      <c r="B663" s="32"/>
      <c r="C663" s="32"/>
      <c r="D663" s="32"/>
      <c r="E663" s="32"/>
      <c r="F663" s="32"/>
    </row>
    <row r="664" spans="2:6" x14ac:dyDescent="0.25">
      <c r="B664" s="32"/>
      <c r="C664" s="32"/>
      <c r="D664" s="32"/>
      <c r="E664" s="32"/>
      <c r="F664" s="32"/>
    </row>
    <row r="665" spans="2:6" x14ac:dyDescent="0.25">
      <c r="B665" s="32"/>
      <c r="C665" s="32"/>
      <c r="D665" s="32"/>
      <c r="E665" s="32"/>
      <c r="F665" s="32"/>
    </row>
    <row r="666" spans="2:6" x14ac:dyDescent="0.25">
      <c r="B666" s="32"/>
      <c r="C666" s="32"/>
      <c r="D666" s="32"/>
      <c r="E666" s="32"/>
      <c r="F666" s="32"/>
    </row>
    <row r="667" spans="2:6" x14ac:dyDescent="0.25">
      <c r="B667" s="32"/>
      <c r="C667" s="32"/>
      <c r="D667" s="32"/>
      <c r="E667" s="32"/>
      <c r="F667" s="32"/>
    </row>
    <row r="668" spans="2:6" x14ac:dyDescent="0.25">
      <c r="B668" s="32"/>
      <c r="C668" s="32"/>
      <c r="D668" s="32"/>
      <c r="E668" s="32"/>
      <c r="F668" s="32"/>
    </row>
    <row r="669" spans="2:6" x14ac:dyDescent="0.25">
      <c r="B669" s="32"/>
      <c r="C669" s="32"/>
      <c r="D669" s="32"/>
      <c r="E669" s="32"/>
      <c r="F669" s="32"/>
    </row>
    <row r="670" spans="2:6" x14ac:dyDescent="0.25">
      <c r="B670" s="32"/>
      <c r="C670" s="32"/>
      <c r="D670" s="32"/>
      <c r="E670" s="32"/>
      <c r="F670" s="32"/>
    </row>
    <row r="671" spans="2:6" x14ac:dyDescent="0.25">
      <c r="B671" s="32"/>
      <c r="C671" s="32"/>
      <c r="D671" s="32"/>
      <c r="E671" s="32"/>
      <c r="F671" s="32"/>
    </row>
    <row r="672" spans="2:6" x14ac:dyDescent="0.25">
      <c r="B672" s="32"/>
      <c r="C672" s="32"/>
      <c r="D672" s="32"/>
      <c r="E672" s="32"/>
      <c r="F672" s="32"/>
    </row>
    <row r="673" spans="2:6" x14ac:dyDescent="0.25">
      <c r="B673" s="32"/>
      <c r="C673" s="32"/>
      <c r="D673" s="32"/>
      <c r="E673" s="32"/>
      <c r="F673" s="32"/>
    </row>
    <row r="674" spans="2:6" x14ac:dyDescent="0.25">
      <c r="B674" s="32"/>
      <c r="C674" s="32"/>
      <c r="D674" s="32"/>
      <c r="E674" s="32"/>
      <c r="F674" s="32"/>
    </row>
    <row r="675" spans="2:6" x14ac:dyDescent="0.25">
      <c r="B675" s="32"/>
      <c r="C675" s="32"/>
      <c r="D675" s="32"/>
      <c r="E675" s="32"/>
      <c r="F675" s="32"/>
    </row>
    <row r="676" spans="2:6" x14ac:dyDescent="0.25">
      <c r="B676" s="32"/>
      <c r="C676" s="32"/>
      <c r="D676" s="32"/>
      <c r="E676" s="32"/>
      <c r="F676" s="32"/>
    </row>
    <row r="677" spans="2:6" x14ac:dyDescent="0.25">
      <c r="B677" s="32"/>
      <c r="C677" s="32"/>
      <c r="D677" s="32"/>
      <c r="E677" s="32"/>
      <c r="F677" s="32"/>
    </row>
    <row r="678" spans="2:6" x14ac:dyDescent="0.25">
      <c r="B678" s="32"/>
      <c r="C678" s="32"/>
      <c r="D678" s="32"/>
      <c r="E678" s="32"/>
      <c r="F678" s="32"/>
    </row>
    <row r="679" spans="2:6" x14ac:dyDescent="0.25">
      <c r="B679" s="32"/>
      <c r="C679" s="32"/>
      <c r="D679" s="32"/>
      <c r="E679" s="32"/>
      <c r="F679" s="32"/>
    </row>
    <row r="680" spans="2:6" x14ac:dyDescent="0.25">
      <c r="B680" s="32"/>
      <c r="C680" s="32"/>
      <c r="D680" s="32"/>
      <c r="E680" s="32"/>
      <c r="F680" s="32"/>
    </row>
    <row r="681" spans="2:6" x14ac:dyDescent="0.25">
      <c r="B681" s="32"/>
      <c r="C681" s="32"/>
      <c r="D681" s="32"/>
      <c r="E681" s="32"/>
      <c r="F681" s="32"/>
    </row>
    <row r="682" spans="2:6" x14ac:dyDescent="0.25">
      <c r="B682" s="32"/>
      <c r="C682" s="32"/>
      <c r="D682" s="32"/>
      <c r="E682" s="32"/>
      <c r="F682" s="32"/>
    </row>
    <row r="683" spans="2:6" x14ac:dyDescent="0.25">
      <c r="B683" s="32"/>
      <c r="C683" s="32"/>
      <c r="D683" s="32"/>
      <c r="E683" s="32"/>
      <c r="F683" s="32"/>
    </row>
    <row r="684" spans="2:6" x14ac:dyDescent="0.25">
      <c r="B684" s="32"/>
      <c r="C684" s="32"/>
      <c r="D684" s="32"/>
      <c r="E684" s="32"/>
      <c r="F684" s="32"/>
    </row>
    <row r="685" spans="2:6" x14ac:dyDescent="0.25">
      <c r="B685" s="32"/>
      <c r="C685" s="32"/>
      <c r="D685" s="32"/>
      <c r="E685" s="32"/>
      <c r="F685" s="32"/>
    </row>
    <row r="686" spans="2:6" x14ac:dyDescent="0.25">
      <c r="B686" s="32"/>
      <c r="C686" s="32"/>
      <c r="D686" s="32"/>
      <c r="E686" s="32"/>
      <c r="F686" s="32"/>
    </row>
    <row r="687" spans="2:6" x14ac:dyDescent="0.25">
      <c r="B687" s="32"/>
      <c r="C687" s="32"/>
      <c r="D687" s="32"/>
      <c r="E687" s="32"/>
      <c r="F687" s="32"/>
    </row>
    <row r="688" spans="2:6" x14ac:dyDescent="0.25">
      <c r="B688" s="32"/>
      <c r="C688" s="32"/>
      <c r="D688" s="32"/>
      <c r="E688" s="32"/>
      <c r="F688" s="32"/>
    </row>
    <row r="689" spans="2:6" x14ac:dyDescent="0.25">
      <c r="B689" s="32"/>
      <c r="C689" s="32"/>
      <c r="D689" s="32"/>
      <c r="E689" s="32"/>
      <c r="F689" s="32"/>
    </row>
    <row r="690" spans="2:6" x14ac:dyDescent="0.25">
      <c r="B690" s="32"/>
      <c r="C690" s="32"/>
      <c r="D690" s="32"/>
      <c r="E690" s="32"/>
      <c r="F690" s="32"/>
    </row>
    <row r="691" spans="2:6" x14ac:dyDescent="0.25">
      <c r="B691" s="32"/>
      <c r="C691" s="32"/>
      <c r="D691" s="32"/>
      <c r="E691" s="32"/>
      <c r="F691" s="32"/>
    </row>
    <row r="692" spans="2:6" x14ac:dyDescent="0.25">
      <c r="B692" s="32"/>
      <c r="C692" s="32"/>
      <c r="D692" s="32"/>
      <c r="E692" s="32"/>
      <c r="F692" s="32"/>
    </row>
    <row r="693" spans="2:6" x14ac:dyDescent="0.25">
      <c r="B693" s="32"/>
      <c r="C693" s="32"/>
      <c r="D693" s="32"/>
      <c r="E693" s="32"/>
      <c r="F693" s="32"/>
    </row>
    <row r="694" spans="2:6" x14ac:dyDescent="0.25">
      <c r="B694" s="32"/>
      <c r="C694" s="32"/>
      <c r="D694" s="32"/>
      <c r="E694" s="32"/>
      <c r="F694" s="32"/>
    </row>
    <row r="695" spans="2:6" x14ac:dyDescent="0.25">
      <c r="B695" s="32"/>
      <c r="C695" s="32"/>
      <c r="D695" s="32"/>
      <c r="E695" s="32"/>
      <c r="F695" s="32"/>
    </row>
    <row r="696" spans="2:6" x14ac:dyDescent="0.25">
      <c r="B696" s="32"/>
      <c r="C696" s="32"/>
      <c r="D696" s="32"/>
      <c r="E696" s="32"/>
      <c r="F696" s="32"/>
    </row>
    <row r="697" spans="2:6" x14ac:dyDescent="0.25">
      <c r="B697" s="32"/>
      <c r="C697" s="32"/>
      <c r="D697" s="32"/>
      <c r="E697" s="32"/>
      <c r="F697" s="32"/>
    </row>
    <row r="698" spans="2:6" x14ac:dyDescent="0.25">
      <c r="B698" s="32"/>
      <c r="C698" s="32"/>
      <c r="D698" s="32"/>
      <c r="E698" s="32"/>
      <c r="F698" s="32"/>
    </row>
    <row r="699" spans="2:6" x14ac:dyDescent="0.25">
      <c r="B699" s="32"/>
      <c r="C699" s="32"/>
      <c r="D699" s="32"/>
      <c r="E699" s="32"/>
      <c r="F699" s="32"/>
    </row>
    <row r="700" spans="2:6" x14ac:dyDescent="0.25">
      <c r="B700" s="32"/>
      <c r="C700" s="32"/>
      <c r="D700" s="32"/>
      <c r="E700" s="32"/>
      <c r="F700" s="32"/>
    </row>
    <row r="701" spans="2:6" x14ac:dyDescent="0.25">
      <c r="B701" s="32"/>
      <c r="C701" s="32"/>
      <c r="D701" s="32"/>
      <c r="E701" s="32"/>
      <c r="F701" s="32"/>
    </row>
    <row r="702" spans="2:6" x14ac:dyDescent="0.25">
      <c r="B702" s="32"/>
      <c r="C702" s="32"/>
      <c r="D702" s="32"/>
      <c r="E702" s="32"/>
      <c r="F702" s="32"/>
    </row>
    <row r="703" spans="2:6" x14ac:dyDescent="0.25">
      <c r="B703" s="32"/>
      <c r="C703" s="32"/>
      <c r="D703" s="32"/>
      <c r="E703" s="32"/>
      <c r="F703" s="32"/>
    </row>
    <row r="704" spans="2:6" x14ac:dyDescent="0.25">
      <c r="B704" s="32"/>
      <c r="C704" s="32"/>
      <c r="D704" s="32"/>
      <c r="E704" s="32"/>
      <c r="F704" s="32"/>
    </row>
    <row r="705" spans="2:6" x14ac:dyDescent="0.25">
      <c r="B705" s="32"/>
      <c r="C705" s="32"/>
      <c r="D705" s="32"/>
      <c r="E705" s="32"/>
      <c r="F705" s="32"/>
    </row>
    <row r="706" spans="2:6" x14ac:dyDescent="0.25">
      <c r="B706" s="32"/>
      <c r="C706" s="32"/>
      <c r="D706" s="32"/>
      <c r="E706" s="32"/>
      <c r="F706" s="32"/>
    </row>
    <row r="707" spans="2:6" x14ac:dyDescent="0.25">
      <c r="B707" s="32"/>
      <c r="C707" s="32"/>
      <c r="D707" s="32"/>
      <c r="E707" s="32"/>
      <c r="F707" s="32"/>
    </row>
    <row r="708" spans="2:6" x14ac:dyDescent="0.25">
      <c r="B708" s="32"/>
      <c r="C708" s="32"/>
      <c r="D708" s="32"/>
      <c r="E708" s="32"/>
      <c r="F708" s="32"/>
    </row>
    <row r="709" spans="2:6" x14ac:dyDescent="0.25">
      <c r="B709" s="32"/>
      <c r="C709" s="32"/>
      <c r="D709" s="32"/>
      <c r="E709" s="32"/>
      <c r="F709" s="32"/>
    </row>
    <row r="710" spans="2:6" x14ac:dyDescent="0.25">
      <c r="B710" s="32"/>
      <c r="C710" s="32"/>
      <c r="D710" s="32"/>
      <c r="E710" s="32"/>
      <c r="F710" s="32"/>
    </row>
    <row r="711" spans="2:6" x14ac:dyDescent="0.25">
      <c r="B711" s="32"/>
      <c r="C711" s="32"/>
      <c r="D711" s="32"/>
      <c r="E711" s="32"/>
      <c r="F711" s="32"/>
    </row>
    <row r="712" spans="2:6" x14ac:dyDescent="0.25">
      <c r="B712" s="32"/>
      <c r="C712" s="32"/>
      <c r="D712" s="32"/>
      <c r="E712" s="32"/>
      <c r="F712" s="32"/>
    </row>
    <row r="713" spans="2:6" x14ac:dyDescent="0.25">
      <c r="B713" s="32"/>
      <c r="C713" s="32"/>
      <c r="D713" s="32"/>
      <c r="E713" s="32"/>
      <c r="F713" s="32"/>
    </row>
    <row r="714" spans="2:6" x14ac:dyDescent="0.25">
      <c r="B714" s="32"/>
      <c r="C714" s="32"/>
      <c r="D714" s="32"/>
      <c r="E714" s="32"/>
      <c r="F714" s="32"/>
    </row>
    <row r="715" spans="2:6" x14ac:dyDescent="0.25">
      <c r="B715" s="32"/>
      <c r="C715" s="32"/>
      <c r="D715" s="32"/>
      <c r="E715" s="32"/>
      <c r="F715" s="32"/>
    </row>
    <row r="716" spans="2:6" x14ac:dyDescent="0.25">
      <c r="B716" s="32"/>
      <c r="C716" s="32"/>
      <c r="D716" s="32"/>
      <c r="E716" s="32"/>
      <c r="F716" s="32"/>
    </row>
    <row r="717" spans="2:6" x14ac:dyDescent="0.25">
      <c r="B717" s="32"/>
      <c r="C717" s="32"/>
      <c r="D717" s="32"/>
      <c r="E717" s="32"/>
      <c r="F717" s="32"/>
    </row>
  </sheetData>
  <mergeCells count="30">
    <mergeCell ref="A10:G10"/>
    <mergeCell ref="M13:M14"/>
    <mergeCell ref="L13:L14"/>
    <mergeCell ref="J13:J14"/>
    <mergeCell ref="K13:K14"/>
    <mergeCell ref="I13:I14"/>
    <mergeCell ref="A559:F559"/>
    <mergeCell ref="G13:G14"/>
    <mergeCell ref="A13:A14"/>
    <mergeCell ref="B13:B14"/>
    <mergeCell ref="C13:C14"/>
    <mergeCell ref="D13:D14"/>
    <mergeCell ref="E13:E14"/>
    <mergeCell ref="F13:F14"/>
    <mergeCell ref="Q13:Q14"/>
    <mergeCell ref="A1:Q1"/>
    <mergeCell ref="A2:Q2"/>
    <mergeCell ref="A3:Q3"/>
    <mergeCell ref="A4:Q4"/>
    <mergeCell ref="A5:Q5"/>
    <mergeCell ref="A6:Q6"/>
    <mergeCell ref="A7:Q7"/>
    <mergeCell ref="A8:Q8"/>
    <mergeCell ref="A9:Q9"/>
    <mergeCell ref="A11:Q11"/>
    <mergeCell ref="A12:Q12"/>
    <mergeCell ref="P13:P14"/>
    <mergeCell ref="O13:O14"/>
    <mergeCell ref="N13:N14"/>
    <mergeCell ref="H13:H14"/>
  </mergeCells>
  <pageMargins left="0.74803149606299213" right="0.19685039370078741" top="0.35433070866141736" bottom="0.15748031496062992" header="0.11811023622047245" footer="0.11811023622047245"/>
  <pageSetup paperSize="9" scale="5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6"/>
  <sheetViews>
    <sheetView tabSelected="1" view="pageLayout" topLeftCell="A200" zoomScaleNormal="100" workbookViewId="0">
      <selection activeCell="A139" sqref="A139"/>
    </sheetView>
  </sheetViews>
  <sheetFormatPr defaultRowHeight="15.75" x14ac:dyDescent="0.25"/>
  <cols>
    <col min="1" max="1" width="82.7109375" style="3" customWidth="1"/>
    <col min="2" max="2" width="4" style="3" customWidth="1"/>
    <col min="3" max="3" width="4.42578125" style="3" customWidth="1"/>
    <col min="4" max="4" width="10" style="3" customWidth="1"/>
    <col min="5" max="5" width="11.28515625" style="16" customWidth="1"/>
    <col min="6" max="6" width="9.140625" style="2"/>
    <col min="7" max="7" width="14.5703125" style="67" customWidth="1"/>
    <col min="8" max="16384" width="9.140625" style="2"/>
  </cols>
  <sheetData>
    <row r="1" spans="1:7" x14ac:dyDescent="0.25">
      <c r="A1" s="119" t="s">
        <v>636</v>
      </c>
      <c r="B1" s="119"/>
      <c r="C1" s="119"/>
      <c r="D1" s="119"/>
      <c r="E1" s="119"/>
    </row>
    <row r="2" spans="1:7" x14ac:dyDescent="0.25">
      <c r="A2" s="115" t="s">
        <v>0</v>
      </c>
      <c r="B2" s="115"/>
      <c r="C2" s="115"/>
      <c r="D2" s="115"/>
      <c r="E2" s="115"/>
    </row>
    <row r="3" spans="1:7" x14ac:dyDescent="0.25">
      <c r="A3" s="115" t="s">
        <v>125</v>
      </c>
      <c r="B3" s="115"/>
      <c r="C3" s="115"/>
      <c r="D3" s="115"/>
      <c r="E3" s="115"/>
    </row>
    <row r="4" spans="1:7" x14ac:dyDescent="0.25">
      <c r="A4" s="116" t="s">
        <v>635</v>
      </c>
      <c r="B4" s="117"/>
      <c r="C4" s="117"/>
      <c r="D4" s="117"/>
      <c r="E4" s="117"/>
    </row>
    <row r="5" spans="1:7" ht="23.25" customHeight="1" x14ac:dyDescent="0.25">
      <c r="A5" s="119" t="s">
        <v>453</v>
      </c>
      <c r="B5" s="119"/>
      <c r="C5" s="119"/>
      <c r="D5" s="119"/>
      <c r="E5" s="119"/>
    </row>
    <row r="6" spans="1:7" x14ac:dyDescent="0.25">
      <c r="A6" s="115" t="s">
        <v>0</v>
      </c>
      <c r="B6" s="115"/>
      <c r="C6" s="115"/>
      <c r="D6" s="115"/>
      <c r="E6" s="115"/>
    </row>
    <row r="7" spans="1:7" x14ac:dyDescent="0.25">
      <c r="A7" s="115" t="s">
        <v>125</v>
      </c>
      <c r="B7" s="115"/>
      <c r="C7" s="115"/>
      <c r="D7" s="115"/>
      <c r="E7" s="115"/>
    </row>
    <row r="8" spans="1:7" x14ac:dyDescent="0.25">
      <c r="A8" s="116" t="s">
        <v>623</v>
      </c>
      <c r="B8" s="117"/>
      <c r="C8" s="117"/>
      <c r="D8" s="117"/>
      <c r="E8" s="117"/>
    </row>
    <row r="9" spans="1:7" ht="9" customHeight="1" x14ac:dyDescent="0.25">
      <c r="E9" s="4"/>
    </row>
    <row r="10" spans="1:7" ht="60.75" customHeight="1" x14ac:dyDescent="0.3">
      <c r="A10" s="118" t="s">
        <v>452</v>
      </c>
      <c r="B10" s="118"/>
      <c r="C10" s="118"/>
      <c r="D10" s="118"/>
      <c r="E10" s="118"/>
    </row>
    <row r="11" spans="1:7" ht="16.5" thickBot="1" x14ac:dyDescent="0.3">
      <c r="E11" s="4" t="s">
        <v>126</v>
      </c>
    </row>
    <row r="12" spans="1:7" ht="16.5" thickBot="1" x14ac:dyDescent="0.3">
      <c r="A12" s="5" t="s">
        <v>127</v>
      </c>
      <c r="B12" s="6" t="s">
        <v>128</v>
      </c>
      <c r="C12" s="6" t="s">
        <v>11</v>
      </c>
      <c r="D12" s="6" t="s">
        <v>12</v>
      </c>
      <c r="E12" s="28" t="s">
        <v>2</v>
      </c>
    </row>
    <row r="13" spans="1:7" x14ac:dyDescent="0.25">
      <c r="A13" s="7" t="s">
        <v>129</v>
      </c>
      <c r="B13" s="8" t="s">
        <v>15</v>
      </c>
      <c r="C13" s="8" t="s">
        <v>16</v>
      </c>
      <c r="D13" s="8" t="s">
        <v>130</v>
      </c>
      <c r="E13" s="9">
        <f>E14+E16+E19+E24+E30+E22</f>
        <v>64905.009999999995</v>
      </c>
      <c r="G13" s="68"/>
    </row>
    <row r="14" spans="1:7" ht="31.5" hidden="1" x14ac:dyDescent="0.25">
      <c r="A14" s="10" t="s">
        <v>131</v>
      </c>
      <c r="B14" s="11" t="s">
        <v>15</v>
      </c>
      <c r="C14" s="11" t="s">
        <v>17</v>
      </c>
      <c r="D14" s="11" t="s">
        <v>130</v>
      </c>
      <c r="E14" s="12">
        <f>E15</f>
        <v>0</v>
      </c>
    </row>
    <row r="15" spans="1:7" hidden="1" x14ac:dyDescent="0.25">
      <c r="A15" s="13" t="s">
        <v>18</v>
      </c>
      <c r="B15" s="14" t="s">
        <v>15</v>
      </c>
      <c r="C15" s="14" t="s">
        <v>17</v>
      </c>
      <c r="D15" s="14" t="s">
        <v>132</v>
      </c>
      <c r="E15" s="15"/>
    </row>
    <row r="16" spans="1:7" ht="31.5" customHeight="1" x14ac:dyDescent="0.25">
      <c r="A16" s="10" t="s">
        <v>19</v>
      </c>
      <c r="B16" s="11" t="s">
        <v>15</v>
      </c>
      <c r="C16" s="11" t="s">
        <v>20</v>
      </c>
      <c r="D16" s="11" t="s">
        <v>130</v>
      </c>
      <c r="E16" s="12">
        <f>E17+E18</f>
        <v>3316.4</v>
      </c>
    </row>
    <row r="17" spans="1:7" x14ac:dyDescent="0.25">
      <c r="A17" s="13" t="s">
        <v>22</v>
      </c>
      <c r="B17" s="14" t="s">
        <v>15</v>
      </c>
      <c r="C17" s="14" t="s">
        <v>20</v>
      </c>
      <c r="D17" s="14" t="s">
        <v>104</v>
      </c>
      <c r="E17" s="15">
        <f>прил.3!O162</f>
        <v>1873</v>
      </c>
      <c r="G17" s="68"/>
    </row>
    <row r="18" spans="1:7" ht="31.5" customHeight="1" x14ac:dyDescent="0.25">
      <c r="A18" s="13" t="s">
        <v>133</v>
      </c>
      <c r="B18" s="14" t="s">
        <v>15</v>
      </c>
      <c r="C18" s="14" t="s">
        <v>20</v>
      </c>
      <c r="D18" s="14" t="s">
        <v>134</v>
      </c>
      <c r="E18" s="15">
        <f>прил.3!O167</f>
        <v>1443.4</v>
      </c>
    </row>
    <row r="19" spans="1:7" ht="45" customHeight="1" x14ac:dyDescent="0.25">
      <c r="A19" s="10" t="s">
        <v>135</v>
      </c>
      <c r="B19" s="11" t="s">
        <v>15</v>
      </c>
      <c r="C19" s="11" t="s">
        <v>24</v>
      </c>
      <c r="D19" s="11" t="s">
        <v>130</v>
      </c>
      <c r="E19" s="12">
        <f>E20+E21</f>
        <v>27490.3</v>
      </c>
    </row>
    <row r="20" spans="1:7" x14ac:dyDescent="0.25">
      <c r="A20" s="13" t="s">
        <v>22</v>
      </c>
      <c r="B20" s="14" t="s">
        <v>15</v>
      </c>
      <c r="C20" s="14" t="s">
        <v>24</v>
      </c>
      <c r="D20" s="14" t="s">
        <v>104</v>
      </c>
      <c r="E20" s="15">
        <f>прил.3!O19</f>
        <v>27490.3</v>
      </c>
    </row>
    <row r="21" spans="1:7" ht="30.75" customHeight="1" x14ac:dyDescent="0.25">
      <c r="A21" s="13" t="s">
        <v>158</v>
      </c>
      <c r="B21" s="14" t="s">
        <v>15</v>
      </c>
      <c r="C21" s="14" t="s">
        <v>24</v>
      </c>
      <c r="D21" s="14" t="s">
        <v>176</v>
      </c>
      <c r="E21" s="15">
        <f>прил.3!O27</f>
        <v>0</v>
      </c>
    </row>
    <row r="22" spans="1:7" ht="30.75" customHeight="1" x14ac:dyDescent="0.25">
      <c r="A22" s="40" t="s">
        <v>424</v>
      </c>
      <c r="B22" s="11" t="s">
        <v>15</v>
      </c>
      <c r="C22" s="11" t="s">
        <v>98</v>
      </c>
      <c r="D22" s="11" t="s">
        <v>104</v>
      </c>
      <c r="E22" s="12">
        <f>E23</f>
        <v>5831.7</v>
      </c>
    </row>
    <row r="23" spans="1:7" ht="16.5" customHeight="1" x14ac:dyDescent="0.25">
      <c r="A23" s="19" t="s">
        <v>234</v>
      </c>
      <c r="B23" s="14" t="s">
        <v>15</v>
      </c>
      <c r="C23" s="14" t="s">
        <v>98</v>
      </c>
      <c r="D23" s="14" t="s">
        <v>425</v>
      </c>
      <c r="E23" s="15">
        <f>прил.3!O176</f>
        <v>5831.7</v>
      </c>
    </row>
    <row r="24" spans="1:7" x14ac:dyDescent="0.25">
      <c r="A24" s="10" t="s">
        <v>26</v>
      </c>
      <c r="B24" s="11" t="s">
        <v>15</v>
      </c>
      <c r="C24" s="11" t="s">
        <v>107</v>
      </c>
      <c r="D24" s="11" t="s">
        <v>130</v>
      </c>
      <c r="E24" s="12">
        <f>E25</f>
        <v>1638.45</v>
      </c>
    </row>
    <row r="25" spans="1:7" x14ac:dyDescent="0.25">
      <c r="A25" s="13" t="s">
        <v>26</v>
      </c>
      <c r="B25" s="14" t="s">
        <v>15</v>
      </c>
      <c r="C25" s="14" t="s">
        <v>107</v>
      </c>
      <c r="D25" s="14" t="s">
        <v>136</v>
      </c>
      <c r="E25" s="15">
        <f>E26</f>
        <v>1638.45</v>
      </c>
    </row>
    <row r="26" spans="1:7" ht="30.75" customHeight="1" x14ac:dyDescent="0.25">
      <c r="A26" s="13" t="s">
        <v>137</v>
      </c>
      <c r="B26" s="14" t="s">
        <v>15</v>
      </c>
      <c r="C26" s="14" t="s">
        <v>107</v>
      </c>
      <c r="D26" s="14" t="s">
        <v>28</v>
      </c>
      <c r="E26" s="15">
        <f>E27+E28+E29</f>
        <v>1638.45</v>
      </c>
    </row>
    <row r="27" spans="1:7" x14ac:dyDescent="0.25">
      <c r="A27" s="13" t="s">
        <v>138</v>
      </c>
      <c r="B27" s="14" t="s">
        <v>15</v>
      </c>
      <c r="C27" s="14" t="s">
        <v>107</v>
      </c>
      <c r="D27" s="14" t="s">
        <v>160</v>
      </c>
      <c r="E27" s="15">
        <f>прил.3!O31</f>
        <v>977.45</v>
      </c>
    </row>
    <row r="28" spans="1:7" ht="30" customHeight="1" x14ac:dyDescent="0.25">
      <c r="A28" s="13" t="s">
        <v>139</v>
      </c>
      <c r="B28" s="14" t="s">
        <v>15</v>
      </c>
      <c r="C28" s="14" t="s">
        <v>107</v>
      </c>
      <c r="D28" s="14" t="s">
        <v>161</v>
      </c>
      <c r="E28" s="15">
        <f>прил.3!O33</f>
        <v>491</v>
      </c>
    </row>
    <row r="29" spans="1:7" x14ac:dyDescent="0.25">
      <c r="A29" s="13" t="s">
        <v>162</v>
      </c>
      <c r="B29" s="14" t="s">
        <v>15</v>
      </c>
      <c r="C29" s="14" t="s">
        <v>107</v>
      </c>
      <c r="D29" s="14" t="s">
        <v>163</v>
      </c>
      <c r="E29" s="15">
        <v>170</v>
      </c>
    </row>
    <row r="30" spans="1:7" x14ac:dyDescent="0.25">
      <c r="A30" s="10" t="s">
        <v>29</v>
      </c>
      <c r="B30" s="11" t="s">
        <v>15</v>
      </c>
      <c r="C30" s="11" t="s">
        <v>185</v>
      </c>
      <c r="D30" s="11" t="s">
        <v>130</v>
      </c>
      <c r="E30" s="12">
        <f>E34+E38+E40++E31+E36+E37+E33+E35</f>
        <v>26628.16</v>
      </c>
    </row>
    <row r="31" spans="1:7" ht="18" customHeight="1" x14ac:dyDescent="0.25">
      <c r="A31" s="10" t="s">
        <v>31</v>
      </c>
      <c r="B31" s="11" t="s">
        <v>15</v>
      </c>
      <c r="C31" s="11" t="s">
        <v>185</v>
      </c>
      <c r="D31" s="11" t="s">
        <v>177</v>
      </c>
      <c r="E31" s="12">
        <f>E32</f>
        <v>602.5</v>
      </c>
    </row>
    <row r="32" spans="1:7" ht="16.5" customHeight="1" x14ac:dyDescent="0.25">
      <c r="A32" s="13" t="s">
        <v>32</v>
      </c>
      <c r="B32" s="14" t="s">
        <v>40</v>
      </c>
      <c r="C32" s="14" t="s">
        <v>185</v>
      </c>
      <c r="D32" s="14" t="s">
        <v>33</v>
      </c>
      <c r="E32" s="15">
        <f>прил.3!O38</f>
        <v>602.5</v>
      </c>
    </row>
    <row r="33" spans="1:7" ht="32.25" customHeight="1" x14ac:dyDescent="0.25">
      <c r="A33" s="47" t="s">
        <v>375</v>
      </c>
      <c r="B33" s="14" t="s">
        <v>15</v>
      </c>
      <c r="C33" s="14" t="s">
        <v>185</v>
      </c>
      <c r="D33" s="14" t="s">
        <v>437</v>
      </c>
      <c r="E33" s="15">
        <f>прил.3!O43</f>
        <v>373.79999999999995</v>
      </c>
    </row>
    <row r="34" spans="1:7" ht="14.25" customHeight="1" x14ac:dyDescent="0.25">
      <c r="A34" s="13" t="s">
        <v>52</v>
      </c>
      <c r="B34" s="14" t="s">
        <v>15</v>
      </c>
      <c r="C34" s="14" t="s">
        <v>185</v>
      </c>
      <c r="D34" s="14" t="s">
        <v>53</v>
      </c>
      <c r="E34" s="15">
        <f>прил.3!O184+прил.3!O376+прил.3!O542+прил.3!O553</f>
        <v>20395.900000000001</v>
      </c>
    </row>
    <row r="35" spans="1:7" ht="14.25" customHeight="1" x14ac:dyDescent="0.25">
      <c r="A35" s="13" t="s">
        <v>441</v>
      </c>
      <c r="B35" s="14" t="s">
        <v>15</v>
      </c>
      <c r="C35" s="14" t="s">
        <v>185</v>
      </c>
      <c r="D35" s="14" t="s">
        <v>539</v>
      </c>
      <c r="E35" s="15">
        <f>прил.3!O51</f>
        <v>0</v>
      </c>
    </row>
    <row r="36" spans="1:7" ht="31.5" x14ac:dyDescent="0.25">
      <c r="A36" s="13" t="s">
        <v>34</v>
      </c>
      <c r="B36" s="14" t="s">
        <v>15</v>
      </c>
      <c r="C36" s="14" t="s">
        <v>185</v>
      </c>
      <c r="D36" s="14" t="s">
        <v>35</v>
      </c>
      <c r="E36" s="15">
        <f>прил.3!O48+прил.3!O548</f>
        <v>600</v>
      </c>
    </row>
    <row r="37" spans="1:7" x14ac:dyDescent="0.25">
      <c r="A37" s="130" t="s">
        <v>36</v>
      </c>
      <c r="B37" s="14" t="s">
        <v>15</v>
      </c>
      <c r="C37" s="14" t="s">
        <v>185</v>
      </c>
      <c r="D37" s="14" t="s">
        <v>37</v>
      </c>
      <c r="E37" s="15">
        <f>прил.3!O52+прил.3!O186</f>
        <v>3064.76</v>
      </c>
    </row>
    <row r="38" spans="1:7" ht="18" customHeight="1" x14ac:dyDescent="0.25">
      <c r="A38" s="126" t="s">
        <v>88</v>
      </c>
      <c r="B38" s="14" t="s">
        <v>15</v>
      </c>
      <c r="C38" s="14" t="s">
        <v>185</v>
      </c>
      <c r="D38" s="14" t="s">
        <v>89</v>
      </c>
      <c r="E38" s="15">
        <f>E39</f>
        <v>1470.1999999999998</v>
      </c>
    </row>
    <row r="39" spans="1:7" ht="17.25" customHeight="1" x14ac:dyDescent="0.25">
      <c r="A39" s="13" t="s">
        <v>52</v>
      </c>
      <c r="B39" s="14" t="s">
        <v>15</v>
      </c>
      <c r="C39" s="14" t="s">
        <v>185</v>
      </c>
      <c r="D39" s="14" t="s">
        <v>169</v>
      </c>
      <c r="E39" s="15">
        <f>прил.3!O498</f>
        <v>1470.1999999999998</v>
      </c>
    </row>
    <row r="40" spans="1:7" x14ac:dyDescent="0.25">
      <c r="A40" s="13" t="s">
        <v>38</v>
      </c>
      <c r="B40" s="14" t="s">
        <v>15</v>
      </c>
      <c r="C40" s="14" t="s">
        <v>185</v>
      </c>
      <c r="D40" s="14" t="s">
        <v>39</v>
      </c>
      <c r="E40" s="15">
        <f>E41+E42+E43</f>
        <v>121</v>
      </c>
    </row>
    <row r="41" spans="1:7" ht="30" customHeight="1" x14ac:dyDescent="0.25">
      <c r="A41" s="13" t="s">
        <v>164</v>
      </c>
      <c r="B41" s="14" t="s">
        <v>15</v>
      </c>
      <c r="C41" s="14" t="s">
        <v>185</v>
      </c>
      <c r="D41" s="14" t="s">
        <v>165</v>
      </c>
      <c r="E41" s="15">
        <f>прил.3!O54</f>
        <v>121</v>
      </c>
    </row>
    <row r="42" spans="1:7" ht="63" hidden="1" x14ac:dyDescent="0.25">
      <c r="A42" s="19" t="s">
        <v>307</v>
      </c>
      <c r="B42" s="14" t="s">
        <v>15</v>
      </c>
      <c r="C42" s="14" t="s">
        <v>185</v>
      </c>
      <c r="D42" s="38" t="s">
        <v>325</v>
      </c>
      <c r="E42" s="15">
        <f>прил.3!O58</f>
        <v>0</v>
      </c>
    </row>
    <row r="43" spans="1:7" ht="31.5" hidden="1" x14ac:dyDescent="0.25">
      <c r="A43" s="19" t="s">
        <v>422</v>
      </c>
      <c r="B43" s="14" t="s">
        <v>15</v>
      </c>
      <c r="C43" s="14" t="s">
        <v>185</v>
      </c>
      <c r="D43" s="38" t="s">
        <v>433</v>
      </c>
      <c r="E43" s="15">
        <f>прил.3!O56</f>
        <v>0</v>
      </c>
    </row>
    <row r="44" spans="1:7" x14ac:dyDescent="0.25">
      <c r="A44" s="29" t="s">
        <v>140</v>
      </c>
      <c r="B44" s="11" t="s">
        <v>17</v>
      </c>
      <c r="C44" s="11" t="s">
        <v>16</v>
      </c>
      <c r="D44" s="11" t="s">
        <v>130</v>
      </c>
      <c r="E44" s="12">
        <f>E45</f>
        <v>603.69999999999993</v>
      </c>
      <c r="G44" s="68"/>
    </row>
    <row r="45" spans="1:7" x14ac:dyDescent="0.25">
      <c r="A45" s="10" t="s">
        <v>178</v>
      </c>
      <c r="B45" s="11" t="s">
        <v>17</v>
      </c>
      <c r="C45" s="11" t="s">
        <v>20</v>
      </c>
      <c r="D45" s="11" t="s">
        <v>130</v>
      </c>
      <c r="E45" s="12">
        <f>E46</f>
        <v>603.69999999999993</v>
      </c>
    </row>
    <row r="46" spans="1:7" ht="28.5" customHeight="1" x14ac:dyDescent="0.25">
      <c r="A46" s="13" t="s">
        <v>3</v>
      </c>
      <c r="B46" s="14" t="s">
        <v>17</v>
      </c>
      <c r="C46" s="14" t="s">
        <v>20</v>
      </c>
      <c r="D46" s="14" t="s">
        <v>41</v>
      </c>
      <c r="E46" s="15">
        <f>прил.3!O62</f>
        <v>603.69999999999993</v>
      </c>
    </row>
    <row r="47" spans="1:7" x14ac:dyDescent="0.25">
      <c r="A47" s="129" t="s">
        <v>141</v>
      </c>
      <c r="B47" s="11" t="s">
        <v>20</v>
      </c>
      <c r="C47" s="11" t="s">
        <v>16</v>
      </c>
      <c r="D47" s="11" t="s">
        <v>130</v>
      </c>
      <c r="E47" s="12">
        <f>E48</f>
        <v>1618.9499999999998</v>
      </c>
      <c r="G47" s="68"/>
    </row>
    <row r="48" spans="1:7" ht="31.5" customHeight="1" x14ac:dyDescent="0.25">
      <c r="A48" s="10" t="s">
        <v>95</v>
      </c>
      <c r="B48" s="11" t="s">
        <v>20</v>
      </c>
      <c r="C48" s="11" t="s">
        <v>63</v>
      </c>
      <c r="D48" s="11" t="s">
        <v>130</v>
      </c>
      <c r="E48" s="12">
        <f>E50+E51+E49</f>
        <v>1618.9499999999998</v>
      </c>
    </row>
    <row r="49" spans="1:7" ht="18" customHeight="1" x14ac:dyDescent="0.25">
      <c r="A49" s="19" t="s">
        <v>502</v>
      </c>
      <c r="B49" s="14" t="s">
        <v>20</v>
      </c>
      <c r="C49" s="14" t="s">
        <v>63</v>
      </c>
      <c r="D49" s="14" t="s">
        <v>160</v>
      </c>
      <c r="E49" s="15">
        <f>прил.3!O69</f>
        <v>22.55</v>
      </c>
    </row>
    <row r="50" spans="1:7" x14ac:dyDescent="0.25">
      <c r="A50" s="13" t="s">
        <v>96</v>
      </c>
      <c r="B50" s="14" t="s">
        <v>20</v>
      </c>
      <c r="C50" s="14" t="s">
        <v>63</v>
      </c>
      <c r="D50" s="14" t="s">
        <v>97</v>
      </c>
      <c r="E50" s="15">
        <f>прил.3!O71</f>
        <v>1596.3999999999999</v>
      </c>
    </row>
    <row r="51" spans="1:7" hidden="1" x14ac:dyDescent="0.25">
      <c r="A51" s="13"/>
      <c r="B51" s="14" t="s">
        <v>20</v>
      </c>
      <c r="C51" s="14" t="s">
        <v>63</v>
      </c>
      <c r="D51" s="14" t="s">
        <v>97</v>
      </c>
      <c r="E51" s="15"/>
    </row>
    <row r="52" spans="1:7" x14ac:dyDescent="0.25">
      <c r="A52" s="29" t="s">
        <v>42</v>
      </c>
      <c r="B52" s="11" t="s">
        <v>24</v>
      </c>
      <c r="C52" s="11" t="s">
        <v>16</v>
      </c>
      <c r="D52" s="11" t="s">
        <v>130</v>
      </c>
      <c r="E52" s="12">
        <f>E53+E55+E66+E69+E59+F74+E63</f>
        <v>126886.61</v>
      </c>
      <c r="G52" s="68"/>
    </row>
    <row r="53" spans="1:7" ht="19.5" hidden="1" customHeight="1" x14ac:dyDescent="0.25">
      <c r="A53" s="53" t="s">
        <v>282</v>
      </c>
      <c r="B53" s="11" t="s">
        <v>24</v>
      </c>
      <c r="C53" s="11" t="s">
        <v>15</v>
      </c>
      <c r="D53" s="11" t="s">
        <v>130</v>
      </c>
      <c r="E53" s="12">
        <f>E54</f>
        <v>0</v>
      </c>
    </row>
    <row r="54" spans="1:7" ht="43.5" hidden="1" customHeight="1" x14ac:dyDescent="0.25">
      <c r="A54" s="46"/>
      <c r="B54" s="14"/>
      <c r="C54" s="14"/>
      <c r="D54" s="14"/>
      <c r="E54" s="15"/>
    </row>
    <row r="55" spans="1:7" x14ac:dyDescent="0.25">
      <c r="A55" s="54" t="s">
        <v>172</v>
      </c>
      <c r="B55" s="11" t="s">
        <v>24</v>
      </c>
      <c r="C55" s="11" t="s">
        <v>17</v>
      </c>
      <c r="D55" s="11" t="s">
        <v>130</v>
      </c>
      <c r="E55" s="12">
        <f>E56+E58+E57</f>
        <v>312.05</v>
      </c>
    </row>
    <row r="56" spans="1:7" ht="30.75" customHeight="1" x14ac:dyDescent="0.25">
      <c r="A56" s="42" t="s">
        <v>637</v>
      </c>
      <c r="B56" s="14" t="s">
        <v>24</v>
      </c>
      <c r="C56" s="14" t="s">
        <v>17</v>
      </c>
      <c r="D56" s="14" t="s">
        <v>514</v>
      </c>
      <c r="E56" s="15">
        <f>прил.3!O409</f>
        <v>278.17</v>
      </c>
    </row>
    <row r="57" spans="1:7" ht="30" x14ac:dyDescent="0.25">
      <c r="A57" s="41" t="s">
        <v>518</v>
      </c>
      <c r="B57" s="14" t="s">
        <v>24</v>
      </c>
      <c r="C57" s="14" t="s">
        <v>17</v>
      </c>
      <c r="D57" s="14" t="s">
        <v>517</v>
      </c>
      <c r="E57" s="15">
        <f>прил.3!O411</f>
        <v>33.879999999999995</v>
      </c>
    </row>
    <row r="58" spans="1:7" hidden="1" x14ac:dyDescent="0.25">
      <c r="A58" s="19"/>
      <c r="B58" s="64"/>
      <c r="C58" s="64"/>
      <c r="D58" s="65"/>
      <c r="E58" s="21"/>
    </row>
    <row r="59" spans="1:7" x14ac:dyDescent="0.25">
      <c r="A59" s="40" t="s">
        <v>220</v>
      </c>
      <c r="B59" s="11" t="s">
        <v>24</v>
      </c>
      <c r="C59" s="11" t="s">
        <v>98</v>
      </c>
      <c r="D59" s="55" t="s">
        <v>130</v>
      </c>
      <c r="E59" s="12">
        <f>E62+E61+E60</f>
        <v>79264.34</v>
      </c>
    </row>
    <row r="60" spans="1:7" ht="47.25" customHeight="1" x14ac:dyDescent="0.25">
      <c r="A60" s="42" t="s">
        <v>584</v>
      </c>
      <c r="B60" s="14" t="s">
        <v>24</v>
      </c>
      <c r="C60" s="14" t="s">
        <v>98</v>
      </c>
      <c r="D60" s="17" t="s">
        <v>554</v>
      </c>
      <c r="E60" s="15">
        <f>прил.3!O422</f>
        <v>48406.82</v>
      </c>
    </row>
    <row r="61" spans="1:7" ht="44.25" customHeight="1" x14ac:dyDescent="0.25">
      <c r="A61" s="42" t="s">
        <v>585</v>
      </c>
      <c r="B61" s="14" t="s">
        <v>24</v>
      </c>
      <c r="C61" s="14" t="s">
        <v>98</v>
      </c>
      <c r="D61" s="17" t="s">
        <v>554</v>
      </c>
      <c r="E61" s="15">
        <f>прил.3!O423</f>
        <v>27857.520000000004</v>
      </c>
    </row>
    <row r="62" spans="1:7" ht="44.25" customHeight="1" x14ac:dyDescent="0.25">
      <c r="A62" s="42" t="s">
        <v>400</v>
      </c>
      <c r="B62" s="14" t="s">
        <v>24</v>
      </c>
      <c r="C62" s="14" t="s">
        <v>98</v>
      </c>
      <c r="D62" s="38" t="s">
        <v>426</v>
      </c>
      <c r="E62" s="15">
        <f>прил.3!O424</f>
        <v>3000</v>
      </c>
    </row>
    <row r="63" spans="1:7" x14ac:dyDescent="0.25">
      <c r="A63" s="75" t="s">
        <v>606</v>
      </c>
      <c r="B63" s="11" t="s">
        <v>24</v>
      </c>
      <c r="C63" s="11" t="s">
        <v>43</v>
      </c>
      <c r="D63" s="35" t="s">
        <v>130</v>
      </c>
      <c r="E63" s="12">
        <f>E64+E65</f>
        <v>13357.99</v>
      </c>
    </row>
    <row r="64" spans="1:7" ht="32.25" customHeight="1" x14ac:dyDescent="0.25">
      <c r="A64" s="42" t="s">
        <v>607</v>
      </c>
      <c r="B64" s="14" t="s">
        <v>24</v>
      </c>
      <c r="C64" s="14" t="s">
        <v>43</v>
      </c>
      <c r="D64" s="38" t="s">
        <v>609</v>
      </c>
      <c r="E64" s="15">
        <f>прил.3!Q81</f>
        <v>10000</v>
      </c>
    </row>
    <row r="65" spans="1:5" ht="31.5" x14ac:dyDescent="0.25">
      <c r="A65" s="42" t="s">
        <v>641</v>
      </c>
      <c r="B65" s="14" t="s">
        <v>24</v>
      </c>
      <c r="C65" s="14" t="s">
        <v>43</v>
      </c>
      <c r="D65" s="38" t="s">
        <v>612</v>
      </c>
      <c r="E65" s="15">
        <f>прил.3!Q83</f>
        <v>3357.99</v>
      </c>
    </row>
    <row r="66" spans="1:5" x14ac:dyDescent="0.25">
      <c r="A66" s="18" t="s">
        <v>304</v>
      </c>
      <c r="B66" s="11" t="s">
        <v>24</v>
      </c>
      <c r="C66" s="11" t="s">
        <v>63</v>
      </c>
      <c r="D66" s="55" t="s">
        <v>130</v>
      </c>
      <c r="E66" s="12">
        <f>E68+E67</f>
        <v>24645.54</v>
      </c>
    </row>
    <row r="67" spans="1:5" ht="31.5" customHeight="1" x14ac:dyDescent="0.25">
      <c r="A67" s="19" t="s">
        <v>586</v>
      </c>
      <c r="B67" s="14" t="s">
        <v>24</v>
      </c>
      <c r="C67" s="14" t="s">
        <v>63</v>
      </c>
      <c r="D67" s="17" t="s">
        <v>602</v>
      </c>
      <c r="E67" s="15">
        <f>прил.3!O415</f>
        <v>10060.540000000001</v>
      </c>
    </row>
    <row r="68" spans="1:5" ht="15" customHeight="1" x14ac:dyDescent="0.25">
      <c r="A68" s="128" t="s">
        <v>638</v>
      </c>
      <c r="B68" s="14" t="s">
        <v>24</v>
      </c>
      <c r="C68" s="14" t="s">
        <v>63</v>
      </c>
      <c r="D68" s="38" t="s">
        <v>326</v>
      </c>
      <c r="E68" s="15">
        <f>прил.3!O416</f>
        <v>14585</v>
      </c>
    </row>
    <row r="69" spans="1:5" ht="14.25" customHeight="1" x14ac:dyDescent="0.25">
      <c r="A69" s="10" t="s">
        <v>166</v>
      </c>
      <c r="B69" s="11" t="s">
        <v>24</v>
      </c>
      <c r="C69" s="11" t="s">
        <v>27</v>
      </c>
      <c r="D69" s="11" t="s">
        <v>130</v>
      </c>
      <c r="E69" s="12">
        <f>E70+E75+E72</f>
        <v>9306.69</v>
      </c>
    </row>
    <row r="70" spans="1:5" x14ac:dyDescent="0.25">
      <c r="A70" s="128" t="s">
        <v>36</v>
      </c>
      <c r="B70" s="14" t="s">
        <v>24</v>
      </c>
      <c r="C70" s="14" t="s">
        <v>27</v>
      </c>
      <c r="D70" s="38" t="s">
        <v>37</v>
      </c>
      <c r="E70" s="15">
        <f>E71</f>
        <v>3534.6</v>
      </c>
    </row>
    <row r="71" spans="1:5" ht="15" customHeight="1" x14ac:dyDescent="0.25">
      <c r="A71" s="13" t="s">
        <v>52</v>
      </c>
      <c r="B71" s="14" t="s">
        <v>24</v>
      </c>
      <c r="C71" s="14" t="s">
        <v>27</v>
      </c>
      <c r="D71" s="14" t="s">
        <v>327</v>
      </c>
      <c r="E71" s="15">
        <f>прил.3!O427</f>
        <v>3534.6</v>
      </c>
    </row>
    <row r="72" spans="1:5" ht="15" customHeight="1" x14ac:dyDescent="0.25">
      <c r="A72" s="24" t="s">
        <v>543</v>
      </c>
      <c r="B72" s="14" t="s">
        <v>24</v>
      </c>
      <c r="C72" s="14" t="s">
        <v>27</v>
      </c>
      <c r="D72" s="14" t="s">
        <v>540</v>
      </c>
      <c r="E72" s="15">
        <f>E73+E74</f>
        <v>3972.09</v>
      </c>
    </row>
    <row r="73" spans="1:5" ht="30" customHeight="1" x14ac:dyDescent="0.25">
      <c r="A73" s="24" t="s">
        <v>542</v>
      </c>
      <c r="B73" s="14" t="s">
        <v>24</v>
      </c>
      <c r="C73" s="14" t="s">
        <v>27</v>
      </c>
      <c r="D73" s="14" t="s">
        <v>541</v>
      </c>
      <c r="E73" s="15">
        <f>прил.3!O433</f>
        <v>3690.51</v>
      </c>
    </row>
    <row r="74" spans="1:5" ht="30" customHeight="1" x14ac:dyDescent="0.25">
      <c r="A74" s="24" t="s">
        <v>595</v>
      </c>
      <c r="B74" s="14" t="s">
        <v>24</v>
      </c>
      <c r="C74" s="14" t="s">
        <v>27</v>
      </c>
      <c r="D74" s="14" t="s">
        <v>594</v>
      </c>
      <c r="E74" s="15">
        <f>прил.3!O193</f>
        <v>281.58</v>
      </c>
    </row>
    <row r="75" spans="1:5" ht="16.5" customHeight="1" x14ac:dyDescent="0.25">
      <c r="A75" s="131" t="s">
        <v>399</v>
      </c>
      <c r="B75" s="14" t="s">
        <v>24</v>
      </c>
      <c r="C75" s="14" t="s">
        <v>27</v>
      </c>
      <c r="D75" s="14" t="s">
        <v>39</v>
      </c>
      <c r="E75" s="15">
        <f>E76+E77+E78+E79+E80+E81</f>
        <v>1800</v>
      </c>
    </row>
    <row r="76" spans="1:5" x14ac:dyDescent="0.25">
      <c r="A76" s="19" t="s">
        <v>406</v>
      </c>
      <c r="B76" s="14" t="s">
        <v>24</v>
      </c>
      <c r="C76" s="14" t="s">
        <v>27</v>
      </c>
      <c r="D76" s="38" t="s">
        <v>428</v>
      </c>
      <c r="E76" s="15">
        <f>прил.3!O436</f>
        <v>0</v>
      </c>
    </row>
    <row r="77" spans="1:5" ht="30" customHeight="1" x14ac:dyDescent="0.25">
      <c r="A77" s="19" t="s">
        <v>534</v>
      </c>
      <c r="B77" s="14" t="s">
        <v>24</v>
      </c>
      <c r="C77" s="14" t="s">
        <v>27</v>
      </c>
      <c r="D77" s="38" t="s">
        <v>427</v>
      </c>
      <c r="E77" s="15">
        <f>прил.3!O438</f>
        <v>16.53</v>
      </c>
    </row>
    <row r="78" spans="1:5" ht="77.25" customHeight="1" x14ac:dyDescent="0.25">
      <c r="A78" s="19" t="s">
        <v>410</v>
      </c>
      <c r="B78" s="14" t="s">
        <v>24</v>
      </c>
      <c r="C78" s="14" t="s">
        <v>27</v>
      </c>
      <c r="D78" s="38" t="s">
        <v>429</v>
      </c>
      <c r="E78" s="15">
        <f>прил.3!O442</f>
        <v>0</v>
      </c>
    </row>
    <row r="79" spans="1:5" x14ac:dyDescent="0.25">
      <c r="A79" s="19" t="s">
        <v>412</v>
      </c>
      <c r="B79" s="14" t="s">
        <v>24</v>
      </c>
      <c r="C79" s="14" t="s">
        <v>27</v>
      </c>
      <c r="D79" s="38" t="s">
        <v>430</v>
      </c>
      <c r="E79" s="15">
        <f>прил.3!O444</f>
        <v>983.47</v>
      </c>
    </row>
    <row r="80" spans="1:5" ht="45.75" customHeight="1" x14ac:dyDescent="0.25">
      <c r="A80" s="19" t="s">
        <v>307</v>
      </c>
      <c r="B80" s="14" t="s">
        <v>24</v>
      </c>
      <c r="C80" s="14" t="s">
        <v>27</v>
      </c>
      <c r="D80" s="38" t="s">
        <v>325</v>
      </c>
      <c r="E80" s="15">
        <f>прил.3!O86</f>
        <v>300</v>
      </c>
    </row>
    <row r="81" spans="1:7" ht="30.75" customHeight="1" x14ac:dyDescent="0.25">
      <c r="A81" s="19" t="s">
        <v>355</v>
      </c>
      <c r="B81" s="14" t="s">
        <v>24</v>
      </c>
      <c r="C81" s="14" t="s">
        <v>27</v>
      </c>
      <c r="D81" s="38" t="s">
        <v>173</v>
      </c>
      <c r="E81" s="15">
        <f>прил.3!O195+прил.3!O88+прил.3!O171+прил.3!O329+прил.3!O446+прил.3!O511</f>
        <v>500</v>
      </c>
    </row>
    <row r="82" spans="1:7" x14ac:dyDescent="0.25">
      <c r="A82" s="29" t="s">
        <v>45</v>
      </c>
      <c r="B82" s="11" t="s">
        <v>46</v>
      </c>
      <c r="C82" s="11" t="s">
        <v>16</v>
      </c>
      <c r="D82" s="11" t="s">
        <v>130</v>
      </c>
      <c r="E82" s="12">
        <f>E108+E115+E89+E83</f>
        <v>65226.12999999999</v>
      </c>
      <c r="G82" s="68"/>
    </row>
    <row r="83" spans="1:7" x14ac:dyDescent="0.25">
      <c r="A83" s="29" t="s">
        <v>418</v>
      </c>
      <c r="B83" s="11" t="s">
        <v>46</v>
      </c>
      <c r="C83" s="11" t="s">
        <v>15</v>
      </c>
      <c r="D83" s="11" t="s">
        <v>130</v>
      </c>
      <c r="E83" s="12">
        <f>E88+E84+E87+E85+E86</f>
        <v>11034.380000000001</v>
      </c>
    </row>
    <row r="84" spans="1:7" x14ac:dyDescent="0.25">
      <c r="A84" s="19" t="s">
        <v>478</v>
      </c>
      <c r="B84" s="14" t="s">
        <v>46</v>
      </c>
      <c r="C84" s="14" t="s">
        <v>15</v>
      </c>
      <c r="D84" s="14" t="s">
        <v>479</v>
      </c>
      <c r="E84" s="15">
        <f>прил.3!O199</f>
        <v>770.7</v>
      </c>
    </row>
    <row r="85" spans="1:7" ht="45" x14ac:dyDescent="0.25">
      <c r="A85" s="51" t="s">
        <v>624</v>
      </c>
      <c r="B85" s="14" t="s">
        <v>46</v>
      </c>
      <c r="C85" s="14" t="s">
        <v>15</v>
      </c>
      <c r="D85" s="14" t="s">
        <v>566</v>
      </c>
      <c r="E85" s="15">
        <f>прил.3!O92</f>
        <v>487.05</v>
      </c>
    </row>
    <row r="86" spans="1:7" ht="17.25" customHeight="1" x14ac:dyDescent="0.25">
      <c r="A86" s="51" t="s">
        <v>625</v>
      </c>
      <c r="B86" s="14" t="s">
        <v>46</v>
      </c>
      <c r="C86" s="14" t="s">
        <v>15</v>
      </c>
      <c r="D86" s="14" t="s">
        <v>567</v>
      </c>
      <c r="E86" s="15">
        <f>прил.3!O94</f>
        <v>892.37</v>
      </c>
    </row>
    <row r="87" spans="1:7" ht="43.5" customHeight="1" x14ac:dyDescent="0.25">
      <c r="A87" s="69" t="s">
        <v>639</v>
      </c>
      <c r="B87" s="14" t="s">
        <v>46</v>
      </c>
      <c r="C87" s="14" t="s">
        <v>15</v>
      </c>
      <c r="D87" s="38" t="s">
        <v>563</v>
      </c>
      <c r="E87" s="15">
        <f>прил.3!O96</f>
        <v>584.26</v>
      </c>
    </row>
    <row r="88" spans="1:7" ht="30" x14ac:dyDescent="0.25">
      <c r="A88" s="51" t="s">
        <v>419</v>
      </c>
      <c r="B88" s="14" t="s">
        <v>46</v>
      </c>
      <c r="C88" s="14" t="s">
        <v>15</v>
      </c>
      <c r="D88" s="38" t="s">
        <v>451</v>
      </c>
      <c r="E88" s="15">
        <f>прил.3!O98+прил.3!O515</f>
        <v>8300</v>
      </c>
    </row>
    <row r="89" spans="1:7" x14ac:dyDescent="0.25">
      <c r="A89" s="10" t="s">
        <v>47</v>
      </c>
      <c r="B89" s="11" t="s">
        <v>46</v>
      </c>
      <c r="C89" s="11" t="s">
        <v>17</v>
      </c>
      <c r="D89" s="11" t="s">
        <v>130</v>
      </c>
      <c r="E89" s="12">
        <f>E91+E105+E92+E106+E107+E103+E90+E93+E104+E100+E101+E102</f>
        <v>39220.619999999995</v>
      </c>
    </row>
    <row r="90" spans="1:7" x14ac:dyDescent="0.25">
      <c r="A90" s="132" t="s">
        <v>376</v>
      </c>
      <c r="B90" s="14" t="s">
        <v>46</v>
      </c>
      <c r="C90" s="14" t="s">
        <v>17</v>
      </c>
      <c r="D90" s="14" t="s">
        <v>480</v>
      </c>
      <c r="E90" s="15">
        <f>прил.3!O205</f>
        <v>1162.79</v>
      </c>
    </row>
    <row r="91" spans="1:7" ht="16.5" customHeight="1" x14ac:dyDescent="0.25">
      <c r="A91" s="133" t="s">
        <v>589</v>
      </c>
      <c r="B91" s="14" t="s">
        <v>46</v>
      </c>
      <c r="C91" s="14" t="s">
        <v>17</v>
      </c>
      <c r="D91" s="14" t="s">
        <v>554</v>
      </c>
      <c r="E91" s="15">
        <f>прил.3!N455</f>
        <v>257.45999999999998</v>
      </c>
    </row>
    <row r="92" spans="1:7" x14ac:dyDescent="0.25">
      <c r="A92" s="20" t="s">
        <v>353</v>
      </c>
      <c r="B92" s="14" t="s">
        <v>46</v>
      </c>
      <c r="C92" s="14" t="s">
        <v>17</v>
      </c>
      <c r="D92" s="14" t="s">
        <v>202</v>
      </c>
      <c r="E92" s="15">
        <f>прил.3!O518</f>
        <v>4012.4</v>
      </c>
    </row>
    <row r="93" spans="1:7" x14ac:dyDescent="0.25">
      <c r="A93" s="20" t="s">
        <v>543</v>
      </c>
      <c r="B93" s="14" t="s">
        <v>46</v>
      </c>
      <c r="C93" s="14" t="s">
        <v>17</v>
      </c>
      <c r="D93" s="14" t="s">
        <v>540</v>
      </c>
      <c r="E93" s="15">
        <f>SUM(E94:E99)</f>
        <v>1257.7</v>
      </c>
    </row>
    <row r="94" spans="1:7" ht="14.25" customHeight="1" x14ac:dyDescent="0.25">
      <c r="A94" s="41" t="s">
        <v>527</v>
      </c>
      <c r="B94" s="14" t="s">
        <v>46</v>
      </c>
      <c r="C94" s="14" t="s">
        <v>17</v>
      </c>
      <c r="D94" s="14" t="s">
        <v>603</v>
      </c>
      <c r="E94" s="15">
        <f>прил.3!O458</f>
        <v>379.15</v>
      </c>
    </row>
    <row r="95" spans="1:7" ht="28.5" customHeight="1" x14ac:dyDescent="0.25">
      <c r="A95" s="19" t="s">
        <v>548</v>
      </c>
      <c r="B95" s="14" t="s">
        <v>46</v>
      </c>
      <c r="C95" s="14" t="s">
        <v>17</v>
      </c>
      <c r="D95" s="14" t="s">
        <v>544</v>
      </c>
      <c r="E95" s="15">
        <f>прил.3!O460</f>
        <v>100.2</v>
      </c>
    </row>
    <row r="96" spans="1:7" ht="16.5" customHeight="1" x14ac:dyDescent="0.25">
      <c r="A96" s="20" t="s">
        <v>549</v>
      </c>
      <c r="B96" s="14" t="s">
        <v>46</v>
      </c>
      <c r="C96" s="14" t="s">
        <v>17</v>
      </c>
      <c r="D96" s="14" t="s">
        <v>545</v>
      </c>
      <c r="E96" s="15">
        <f>прил.3!O462</f>
        <v>271.19</v>
      </c>
    </row>
    <row r="97" spans="1:5" x14ac:dyDescent="0.25">
      <c r="A97" s="20" t="s">
        <v>524</v>
      </c>
      <c r="B97" s="14" t="s">
        <v>46</v>
      </c>
      <c r="C97" s="14" t="s">
        <v>17</v>
      </c>
      <c r="D97" s="14" t="s">
        <v>546</v>
      </c>
      <c r="E97" s="15">
        <f>прил.3!O464</f>
        <v>329.16</v>
      </c>
    </row>
    <row r="98" spans="1:5" ht="30.75" customHeight="1" x14ac:dyDescent="0.25">
      <c r="A98" s="20" t="s">
        <v>633</v>
      </c>
      <c r="B98" s="14" t="s">
        <v>46</v>
      </c>
      <c r="C98" s="14" t="s">
        <v>17</v>
      </c>
      <c r="D98" s="14" t="s">
        <v>547</v>
      </c>
      <c r="E98" s="15">
        <f>прил.3!O521</f>
        <v>140</v>
      </c>
    </row>
    <row r="99" spans="1:5" ht="18" customHeight="1" x14ac:dyDescent="0.25">
      <c r="A99" s="20" t="s">
        <v>537</v>
      </c>
      <c r="B99" s="14" t="s">
        <v>46</v>
      </c>
      <c r="C99" s="14" t="s">
        <v>17</v>
      </c>
      <c r="D99" s="14" t="s">
        <v>550</v>
      </c>
      <c r="E99" s="15">
        <f>прил.3!O522</f>
        <v>38</v>
      </c>
    </row>
    <row r="100" spans="1:5" x14ac:dyDescent="0.25">
      <c r="A100" s="19" t="s">
        <v>406</v>
      </c>
      <c r="B100" s="14" t="s">
        <v>46</v>
      </c>
      <c r="C100" s="14" t="s">
        <v>17</v>
      </c>
      <c r="D100" s="38" t="s">
        <v>428</v>
      </c>
      <c r="E100" s="15">
        <f>прил.3!O468</f>
        <v>465.2</v>
      </c>
    </row>
    <row r="101" spans="1:5" ht="16.5" customHeight="1" x14ac:dyDescent="0.25">
      <c r="A101" s="19" t="s">
        <v>407</v>
      </c>
      <c r="B101" s="14" t="s">
        <v>46</v>
      </c>
      <c r="C101" s="14" t="s">
        <v>17</v>
      </c>
      <c r="D101" s="38" t="s">
        <v>559</v>
      </c>
      <c r="E101" s="15">
        <f>прил.3!O470</f>
        <v>519.97</v>
      </c>
    </row>
    <row r="102" spans="1:5" ht="80.25" customHeight="1" x14ac:dyDescent="0.25">
      <c r="A102" s="19" t="s">
        <v>410</v>
      </c>
      <c r="B102" s="14" t="s">
        <v>46</v>
      </c>
      <c r="C102" s="14" t="s">
        <v>17</v>
      </c>
      <c r="D102" s="38" t="s">
        <v>429</v>
      </c>
      <c r="E102" s="15">
        <f>прил.3!O472</f>
        <v>113.6</v>
      </c>
    </row>
    <row r="103" spans="1:5" ht="31.5" x14ac:dyDescent="0.25">
      <c r="A103" s="19" t="s">
        <v>422</v>
      </c>
      <c r="B103" s="14" t="s">
        <v>46</v>
      </c>
      <c r="C103" s="14" t="s">
        <v>17</v>
      </c>
      <c r="D103" s="14" t="s">
        <v>433</v>
      </c>
      <c r="E103" s="15">
        <f>прил.3!O101</f>
        <v>140</v>
      </c>
    </row>
    <row r="104" spans="1:5" ht="31.5" x14ac:dyDescent="0.25">
      <c r="A104" s="19" t="s">
        <v>527</v>
      </c>
      <c r="B104" s="14" t="s">
        <v>46</v>
      </c>
      <c r="C104" s="14" t="s">
        <v>17</v>
      </c>
      <c r="D104" s="14" t="s">
        <v>551</v>
      </c>
      <c r="E104" s="15">
        <f>прил.3!O466</f>
        <v>400</v>
      </c>
    </row>
    <row r="105" spans="1:5" ht="29.25" customHeight="1" x14ac:dyDescent="0.25">
      <c r="A105" s="19" t="s">
        <v>416</v>
      </c>
      <c r="B105" s="14" t="s">
        <v>46</v>
      </c>
      <c r="C105" s="14" t="s">
        <v>17</v>
      </c>
      <c r="D105" s="38" t="s">
        <v>439</v>
      </c>
      <c r="E105" s="15">
        <f>прил.3!O474+прил.3!O103</f>
        <v>30891.5</v>
      </c>
    </row>
    <row r="106" spans="1:5" ht="46.5" hidden="1" customHeight="1" x14ac:dyDescent="0.25">
      <c r="A106" s="19" t="s">
        <v>364</v>
      </c>
      <c r="B106" s="14" t="s">
        <v>46</v>
      </c>
      <c r="C106" s="14" t="s">
        <v>17</v>
      </c>
      <c r="D106" s="17" t="s">
        <v>348</v>
      </c>
      <c r="E106" s="15">
        <f>прил.3!O476</f>
        <v>0</v>
      </c>
    </row>
    <row r="107" spans="1:5" ht="44.25" hidden="1" customHeight="1" x14ac:dyDescent="0.25">
      <c r="A107" s="19" t="s">
        <v>354</v>
      </c>
      <c r="B107" s="14" t="s">
        <v>46</v>
      </c>
      <c r="C107" s="14" t="s">
        <v>17</v>
      </c>
      <c r="D107" s="17" t="s">
        <v>352</v>
      </c>
      <c r="E107" s="15">
        <f>прил.3!O478</f>
        <v>0</v>
      </c>
    </row>
    <row r="108" spans="1:5" x14ac:dyDescent="0.25">
      <c r="A108" s="10" t="s">
        <v>48</v>
      </c>
      <c r="B108" s="11" t="s">
        <v>46</v>
      </c>
      <c r="C108" s="11" t="s">
        <v>20</v>
      </c>
      <c r="D108" s="11" t="s">
        <v>130</v>
      </c>
      <c r="E108" s="12">
        <f>E112+E113+E114+E111+E109+E110</f>
        <v>9322.1799999999985</v>
      </c>
    </row>
    <row r="109" spans="1:5" ht="31.5" x14ac:dyDescent="0.25">
      <c r="A109" s="13" t="s">
        <v>504</v>
      </c>
      <c r="B109" s="14" t="s">
        <v>46</v>
      </c>
      <c r="C109" s="14" t="s">
        <v>20</v>
      </c>
      <c r="D109" s="14" t="s">
        <v>161</v>
      </c>
      <c r="E109" s="15">
        <f>прил.3!O107</f>
        <v>9</v>
      </c>
    </row>
    <row r="110" spans="1:5" x14ac:dyDescent="0.25">
      <c r="A110" s="13" t="s">
        <v>571</v>
      </c>
      <c r="B110" s="14" t="s">
        <v>46</v>
      </c>
      <c r="C110" s="14" t="s">
        <v>20</v>
      </c>
      <c r="D110" s="14" t="s">
        <v>480</v>
      </c>
      <c r="E110" s="15">
        <f>прил.3!O208</f>
        <v>88.08</v>
      </c>
    </row>
    <row r="111" spans="1:5" x14ac:dyDescent="0.25">
      <c r="A111" s="13" t="s">
        <v>473</v>
      </c>
      <c r="B111" s="14" t="s">
        <v>46</v>
      </c>
      <c r="C111" s="14" t="s">
        <v>20</v>
      </c>
      <c r="D111" s="14" t="s">
        <v>553</v>
      </c>
      <c r="E111" s="15">
        <f>прил.3!O524</f>
        <v>2705.5</v>
      </c>
    </row>
    <row r="112" spans="1:5" ht="30.75" customHeight="1" x14ac:dyDescent="0.25">
      <c r="A112" s="13" t="s">
        <v>475</v>
      </c>
      <c r="B112" s="14" t="s">
        <v>46</v>
      </c>
      <c r="C112" s="14" t="s">
        <v>20</v>
      </c>
      <c r="D112" s="14" t="s">
        <v>552</v>
      </c>
      <c r="E112" s="15">
        <f>прил.3!O526</f>
        <v>207.4</v>
      </c>
    </row>
    <row r="113" spans="1:7" x14ac:dyDescent="0.25">
      <c r="A113" s="13" t="s">
        <v>99</v>
      </c>
      <c r="B113" s="14" t="s">
        <v>46</v>
      </c>
      <c r="C113" s="14" t="s">
        <v>20</v>
      </c>
      <c r="D113" s="14" t="s">
        <v>100</v>
      </c>
      <c r="E113" s="21">
        <f>прил.3!O210+прил.3!O528</f>
        <v>580</v>
      </c>
    </row>
    <row r="114" spans="1:7" ht="17.25" customHeight="1" x14ac:dyDescent="0.25">
      <c r="A114" s="13" t="s">
        <v>49</v>
      </c>
      <c r="B114" s="14" t="s">
        <v>46</v>
      </c>
      <c r="C114" s="14" t="s">
        <v>20</v>
      </c>
      <c r="D114" s="14" t="s">
        <v>50</v>
      </c>
      <c r="E114" s="21">
        <f>прил.3!O481+прил.3!O530</f>
        <v>5732.2</v>
      </c>
    </row>
    <row r="115" spans="1:7" ht="18" customHeight="1" x14ac:dyDescent="0.25">
      <c r="A115" s="10" t="s">
        <v>51</v>
      </c>
      <c r="B115" s="11" t="s">
        <v>46</v>
      </c>
      <c r="C115" s="11" t="s">
        <v>46</v>
      </c>
      <c r="D115" s="11" t="s">
        <v>130</v>
      </c>
      <c r="E115" s="12">
        <f>E116+E117</f>
        <v>5648.9500000000007</v>
      </c>
    </row>
    <row r="116" spans="1:7" ht="15" customHeight="1" x14ac:dyDescent="0.25">
      <c r="A116" s="13" t="s">
        <v>52</v>
      </c>
      <c r="B116" s="14" t="s">
        <v>46</v>
      </c>
      <c r="C116" s="14" t="s">
        <v>46</v>
      </c>
      <c r="D116" s="14" t="s">
        <v>53</v>
      </c>
      <c r="E116" s="15">
        <f>прил.3!O533</f>
        <v>4354.05</v>
      </c>
    </row>
    <row r="117" spans="1:7" x14ac:dyDescent="0.25">
      <c r="A117" s="13" t="s">
        <v>142</v>
      </c>
      <c r="B117" s="14" t="s">
        <v>46</v>
      </c>
      <c r="C117" s="14" t="s">
        <v>46</v>
      </c>
      <c r="D117" s="14" t="s">
        <v>54</v>
      </c>
      <c r="E117" s="15">
        <f>прил.3!O110</f>
        <v>1294.9000000000001</v>
      </c>
    </row>
    <row r="118" spans="1:7" x14ac:dyDescent="0.25">
      <c r="A118" s="29" t="s">
        <v>55</v>
      </c>
      <c r="B118" s="11" t="s">
        <v>56</v>
      </c>
      <c r="C118" s="11" t="s">
        <v>16</v>
      </c>
      <c r="D118" s="11" t="s">
        <v>130</v>
      </c>
      <c r="E118" s="12">
        <f>E119+E130+E147+E150+E157</f>
        <v>297567.96999999997</v>
      </c>
      <c r="G118" s="68"/>
    </row>
    <row r="119" spans="1:7" x14ac:dyDescent="0.25">
      <c r="A119" s="10" t="s">
        <v>57</v>
      </c>
      <c r="B119" s="11" t="s">
        <v>56</v>
      </c>
      <c r="C119" s="11" t="s">
        <v>15</v>
      </c>
      <c r="D119" s="11" t="s">
        <v>130</v>
      </c>
      <c r="E119" s="12">
        <f>E123+E128+E121+E129+E122+E124+E125+E126+E127+E120</f>
        <v>185531.97</v>
      </c>
    </row>
    <row r="120" spans="1:7" x14ac:dyDescent="0.25">
      <c r="A120" s="24" t="s">
        <v>574</v>
      </c>
      <c r="B120" s="14" t="s">
        <v>56</v>
      </c>
      <c r="C120" s="14" t="s">
        <v>15</v>
      </c>
      <c r="D120" s="14" t="s">
        <v>596</v>
      </c>
      <c r="E120" s="15">
        <f>прил.3!O214</f>
        <v>884.82</v>
      </c>
    </row>
    <row r="121" spans="1:7" ht="30" customHeight="1" x14ac:dyDescent="0.25">
      <c r="A121" s="19" t="s">
        <v>339</v>
      </c>
      <c r="B121" s="14" t="s">
        <v>56</v>
      </c>
      <c r="C121" s="14" t="s">
        <v>15</v>
      </c>
      <c r="D121" s="14" t="s">
        <v>487</v>
      </c>
      <c r="E121" s="15">
        <f>прил.3!O217</f>
        <v>144.09</v>
      </c>
    </row>
    <row r="122" spans="1:7" ht="48" customHeight="1" x14ac:dyDescent="0.25">
      <c r="A122" s="19" t="s">
        <v>482</v>
      </c>
      <c r="B122" s="14" t="s">
        <v>56</v>
      </c>
      <c r="C122" s="14" t="s">
        <v>15</v>
      </c>
      <c r="D122" s="14" t="s">
        <v>488</v>
      </c>
      <c r="E122" s="15">
        <f>прил.3!O219</f>
        <v>371.28</v>
      </c>
    </row>
    <row r="123" spans="1:7" ht="19.5" customHeight="1" x14ac:dyDescent="0.25">
      <c r="A123" s="13" t="s">
        <v>52</v>
      </c>
      <c r="B123" s="14" t="s">
        <v>56</v>
      </c>
      <c r="C123" s="14" t="s">
        <v>15</v>
      </c>
      <c r="D123" s="14" t="s">
        <v>58</v>
      </c>
      <c r="E123" s="15">
        <f>прил.3!O221+прил.3!O225</f>
        <v>49337.479999999996</v>
      </c>
    </row>
    <row r="124" spans="1:7" ht="46.5" customHeight="1" x14ac:dyDescent="0.25">
      <c r="A124" s="24" t="s">
        <v>485</v>
      </c>
      <c r="B124" s="14" t="s">
        <v>56</v>
      </c>
      <c r="C124" s="14" t="s">
        <v>15</v>
      </c>
      <c r="D124" s="14" t="s">
        <v>489</v>
      </c>
      <c r="E124" s="15">
        <f>прил.3!O228</f>
        <v>908.90000000000009</v>
      </c>
    </row>
    <row r="125" spans="1:7" ht="48" customHeight="1" x14ac:dyDescent="0.25">
      <c r="A125" s="19" t="s">
        <v>486</v>
      </c>
      <c r="B125" s="14" t="s">
        <v>56</v>
      </c>
      <c r="C125" s="14" t="s">
        <v>15</v>
      </c>
      <c r="D125" s="14" t="s">
        <v>490</v>
      </c>
      <c r="E125" s="15">
        <f>прил.3!O231</f>
        <v>2238</v>
      </c>
    </row>
    <row r="126" spans="1:7" ht="30.75" customHeight="1" x14ac:dyDescent="0.25">
      <c r="A126" s="42" t="s">
        <v>414</v>
      </c>
      <c r="B126" s="14" t="s">
        <v>56</v>
      </c>
      <c r="C126" s="14" t="s">
        <v>15</v>
      </c>
      <c r="D126" s="14" t="s">
        <v>554</v>
      </c>
      <c r="E126" s="15">
        <f>прил.3!O485</f>
        <v>122861.1</v>
      </c>
    </row>
    <row r="127" spans="1:7" ht="30.75" customHeight="1" x14ac:dyDescent="0.25">
      <c r="A127" s="42" t="s">
        <v>556</v>
      </c>
      <c r="B127" s="14" t="s">
        <v>56</v>
      </c>
      <c r="C127" s="14" t="s">
        <v>15</v>
      </c>
      <c r="D127" s="14" t="s">
        <v>555</v>
      </c>
      <c r="E127" s="15">
        <f>прил.3!O487</f>
        <v>6000</v>
      </c>
    </row>
    <row r="128" spans="1:7" ht="15.75" customHeight="1" x14ac:dyDescent="0.25">
      <c r="A128" s="39" t="s">
        <v>303</v>
      </c>
      <c r="B128" s="14" t="s">
        <v>56</v>
      </c>
      <c r="C128" s="14" t="s">
        <v>15</v>
      </c>
      <c r="D128" s="38" t="s">
        <v>343</v>
      </c>
      <c r="E128" s="15">
        <f>прил.3!O489</f>
        <v>500</v>
      </c>
    </row>
    <row r="129" spans="1:5" ht="18.75" customHeight="1" x14ac:dyDescent="0.25">
      <c r="A129" s="19" t="s">
        <v>397</v>
      </c>
      <c r="B129" s="14" t="s">
        <v>56</v>
      </c>
      <c r="C129" s="14" t="s">
        <v>15</v>
      </c>
      <c r="D129" s="38" t="s">
        <v>434</v>
      </c>
      <c r="E129" s="15">
        <f>прил.3!O491+прил.3!O234</f>
        <v>2286.3000000000002</v>
      </c>
    </row>
    <row r="130" spans="1:5" x14ac:dyDescent="0.25">
      <c r="A130" s="10" t="s">
        <v>80</v>
      </c>
      <c r="B130" s="11" t="s">
        <v>56</v>
      </c>
      <c r="C130" s="11" t="s">
        <v>17</v>
      </c>
      <c r="D130" s="11" t="s">
        <v>130</v>
      </c>
      <c r="E130" s="12">
        <f>E131+E134+E136+E145+E138+E142+E141+E143+E139+E140+E144+E146</f>
        <v>102041.25</v>
      </c>
    </row>
    <row r="131" spans="1:5" ht="17.25" customHeight="1" x14ac:dyDescent="0.25">
      <c r="A131" s="13" t="s">
        <v>118</v>
      </c>
      <c r="B131" s="14" t="s">
        <v>56</v>
      </c>
      <c r="C131" s="14" t="s">
        <v>17</v>
      </c>
      <c r="D131" s="14" t="s">
        <v>119</v>
      </c>
      <c r="E131" s="15">
        <f>E132</f>
        <v>13603.939999999999</v>
      </c>
    </row>
    <row r="132" spans="1:5" ht="14.25" customHeight="1" x14ac:dyDescent="0.25">
      <c r="A132" s="13" t="s">
        <v>52</v>
      </c>
      <c r="B132" s="14" t="s">
        <v>56</v>
      </c>
      <c r="C132" s="14" t="s">
        <v>17</v>
      </c>
      <c r="D132" s="14" t="s">
        <v>119</v>
      </c>
      <c r="E132" s="21">
        <f>прил.3!O238</f>
        <v>13603.939999999999</v>
      </c>
    </row>
    <row r="133" spans="1:5" ht="47.25" hidden="1" x14ac:dyDescent="0.25">
      <c r="A133" s="13" t="s">
        <v>179</v>
      </c>
      <c r="B133" s="14" t="s">
        <v>56</v>
      </c>
      <c r="C133" s="14" t="s">
        <v>17</v>
      </c>
      <c r="D133" s="14" t="s">
        <v>180</v>
      </c>
      <c r="E133" s="15"/>
    </row>
    <row r="134" spans="1:5" ht="14.25" customHeight="1" x14ac:dyDescent="0.25">
      <c r="A134" s="13" t="s">
        <v>81</v>
      </c>
      <c r="B134" s="14" t="s">
        <v>56</v>
      </c>
      <c r="C134" s="14" t="s">
        <v>17</v>
      </c>
      <c r="D134" s="14" t="s">
        <v>82</v>
      </c>
      <c r="E134" s="15">
        <f>E135</f>
        <v>24941.3</v>
      </c>
    </row>
    <row r="135" spans="1:5" ht="14.25" customHeight="1" x14ac:dyDescent="0.25">
      <c r="A135" s="13" t="s">
        <v>52</v>
      </c>
      <c r="B135" s="14" t="s">
        <v>56</v>
      </c>
      <c r="C135" s="14" t="s">
        <v>17</v>
      </c>
      <c r="D135" s="14" t="s">
        <v>83</v>
      </c>
      <c r="E135" s="15">
        <f>прил.3!O245</f>
        <v>24941.3</v>
      </c>
    </row>
    <row r="136" spans="1:5" ht="23.25" hidden="1" customHeight="1" x14ac:dyDescent="0.25">
      <c r="A136" s="22" t="s">
        <v>79</v>
      </c>
      <c r="B136" s="14" t="s">
        <v>56</v>
      </c>
      <c r="C136" s="14" t="s">
        <v>17</v>
      </c>
      <c r="D136" s="14" t="s">
        <v>94</v>
      </c>
      <c r="E136" s="15"/>
    </row>
    <row r="137" spans="1:5" ht="28.5" hidden="1" customHeight="1" x14ac:dyDescent="0.25">
      <c r="A137" s="20" t="s">
        <v>121</v>
      </c>
      <c r="B137" s="14" t="s">
        <v>56</v>
      </c>
      <c r="C137" s="14" t="s">
        <v>17</v>
      </c>
      <c r="D137" s="14" t="s">
        <v>122</v>
      </c>
      <c r="E137" s="15"/>
    </row>
    <row r="138" spans="1:5" ht="28.5" customHeight="1" x14ac:dyDescent="0.25">
      <c r="A138" s="19" t="s">
        <v>629</v>
      </c>
      <c r="B138" s="14" t="s">
        <v>56</v>
      </c>
      <c r="C138" s="14" t="s">
        <v>17</v>
      </c>
      <c r="D138" s="14" t="s">
        <v>494</v>
      </c>
      <c r="E138" s="15">
        <f>прил.3!O249</f>
        <v>2288</v>
      </c>
    </row>
    <row r="139" spans="1:5" ht="18" customHeight="1" x14ac:dyDescent="0.25">
      <c r="A139" s="128" t="s">
        <v>506</v>
      </c>
      <c r="B139" s="14" t="s">
        <v>56</v>
      </c>
      <c r="C139" s="14" t="s">
        <v>17</v>
      </c>
      <c r="D139" s="14" t="s">
        <v>558</v>
      </c>
      <c r="E139" s="15">
        <f>прил.3!O115</f>
        <v>44</v>
      </c>
    </row>
    <row r="140" spans="1:5" ht="28.5" customHeight="1" x14ac:dyDescent="0.25">
      <c r="A140" s="19" t="s">
        <v>121</v>
      </c>
      <c r="B140" s="14" t="s">
        <v>56</v>
      </c>
      <c r="C140" s="14" t="s">
        <v>17</v>
      </c>
      <c r="D140" s="14" t="s">
        <v>597</v>
      </c>
      <c r="E140" s="15">
        <f>прил.3!O252</f>
        <v>819</v>
      </c>
    </row>
    <row r="141" spans="1:5" ht="62.25" customHeight="1" x14ac:dyDescent="0.25">
      <c r="A141" s="13" t="s">
        <v>120</v>
      </c>
      <c r="B141" s="14" t="s">
        <v>56</v>
      </c>
      <c r="C141" s="14" t="s">
        <v>17</v>
      </c>
      <c r="D141" s="14" t="s">
        <v>438</v>
      </c>
      <c r="E141" s="15">
        <f>прил.3!O255</f>
        <v>46904.000000000007</v>
      </c>
    </row>
    <row r="142" spans="1:5" ht="18" customHeight="1" x14ac:dyDescent="0.25">
      <c r="A142" s="19" t="s">
        <v>493</v>
      </c>
      <c r="B142" s="14" t="s">
        <v>56</v>
      </c>
      <c r="C142" s="14" t="s">
        <v>17</v>
      </c>
      <c r="D142" s="14" t="s">
        <v>495</v>
      </c>
      <c r="E142" s="15">
        <f>прил.3!O262</f>
        <v>640</v>
      </c>
    </row>
    <row r="143" spans="1:5" ht="31.5" customHeight="1" x14ac:dyDescent="0.25">
      <c r="A143" s="19" t="s">
        <v>640</v>
      </c>
      <c r="B143" s="14" t="s">
        <v>56</v>
      </c>
      <c r="C143" s="14" t="s">
        <v>17</v>
      </c>
      <c r="D143" s="14" t="s">
        <v>557</v>
      </c>
      <c r="E143" s="15">
        <f>прил.3!O494</f>
        <v>5807.65</v>
      </c>
    </row>
    <row r="144" spans="1:5" ht="30" customHeight="1" x14ac:dyDescent="0.25">
      <c r="A144" s="13" t="s">
        <v>598</v>
      </c>
      <c r="B144" s="14" t="s">
        <v>56</v>
      </c>
      <c r="C144" s="14" t="s">
        <v>17</v>
      </c>
      <c r="D144" s="14" t="s">
        <v>175</v>
      </c>
      <c r="E144" s="15">
        <f>прил.3!O267</f>
        <v>1129.4499999999998</v>
      </c>
    </row>
    <row r="145" spans="1:5" ht="15" customHeight="1" x14ac:dyDescent="0.25">
      <c r="A145" s="19" t="s">
        <v>397</v>
      </c>
      <c r="B145" s="14" t="s">
        <v>56</v>
      </c>
      <c r="C145" s="14" t="s">
        <v>17</v>
      </c>
      <c r="D145" s="38" t="s">
        <v>434</v>
      </c>
      <c r="E145" s="15">
        <f>прил.3!O264</f>
        <v>5737.7</v>
      </c>
    </row>
    <row r="146" spans="1:5" ht="30" x14ac:dyDescent="0.25">
      <c r="A146" s="41" t="s">
        <v>592</v>
      </c>
      <c r="B146" s="14" t="s">
        <v>56</v>
      </c>
      <c r="C146" s="14" t="s">
        <v>17</v>
      </c>
      <c r="D146" s="38" t="s">
        <v>604</v>
      </c>
      <c r="E146" s="15">
        <f>прил.3!N497</f>
        <v>126.21</v>
      </c>
    </row>
    <row r="147" spans="1:5" ht="15" customHeight="1" x14ac:dyDescent="0.25">
      <c r="A147" s="10" t="s">
        <v>76</v>
      </c>
      <c r="B147" s="11" t="s">
        <v>56</v>
      </c>
      <c r="C147" s="11" t="s">
        <v>46</v>
      </c>
      <c r="D147" s="11" t="s">
        <v>130</v>
      </c>
      <c r="E147" s="12">
        <f>E148</f>
        <v>45</v>
      </c>
    </row>
    <row r="148" spans="1:5" ht="15" customHeight="1" x14ac:dyDescent="0.25">
      <c r="A148" s="13" t="s">
        <v>123</v>
      </c>
      <c r="B148" s="14" t="s">
        <v>56</v>
      </c>
      <c r="C148" s="14" t="s">
        <v>46</v>
      </c>
      <c r="D148" s="14" t="s">
        <v>124</v>
      </c>
      <c r="E148" s="15">
        <f>E149</f>
        <v>45</v>
      </c>
    </row>
    <row r="149" spans="1:5" ht="15" customHeight="1" x14ac:dyDescent="0.25">
      <c r="A149" s="13" t="s">
        <v>77</v>
      </c>
      <c r="B149" s="14" t="s">
        <v>56</v>
      </c>
      <c r="C149" s="14" t="s">
        <v>46</v>
      </c>
      <c r="D149" s="14" t="s">
        <v>78</v>
      </c>
      <c r="E149" s="15">
        <f>прил.3!O271</f>
        <v>45</v>
      </c>
    </row>
    <row r="150" spans="1:5" x14ac:dyDescent="0.25">
      <c r="A150" s="10" t="s">
        <v>59</v>
      </c>
      <c r="B150" s="11" t="s">
        <v>56</v>
      </c>
      <c r="C150" s="11" t="s">
        <v>56</v>
      </c>
      <c r="D150" s="11" t="s">
        <v>130</v>
      </c>
      <c r="E150" s="12">
        <f>E151+E153</f>
        <v>2915</v>
      </c>
    </row>
    <row r="151" spans="1:5" ht="15.75" customHeight="1" x14ac:dyDescent="0.25">
      <c r="A151" s="13" t="s">
        <v>143</v>
      </c>
      <c r="B151" s="14" t="s">
        <v>56</v>
      </c>
      <c r="C151" s="14" t="s">
        <v>56</v>
      </c>
      <c r="D151" s="14" t="s">
        <v>144</v>
      </c>
      <c r="E151" s="15">
        <f>E152</f>
        <v>680</v>
      </c>
    </row>
    <row r="152" spans="1:5" ht="17.25" customHeight="1" x14ac:dyDescent="0.25">
      <c r="A152" s="13" t="s">
        <v>60</v>
      </c>
      <c r="B152" s="14" t="s">
        <v>56</v>
      </c>
      <c r="C152" s="14" t="s">
        <v>56</v>
      </c>
      <c r="D152" s="14" t="s">
        <v>61</v>
      </c>
      <c r="E152" s="15">
        <f>прил.3!O118</f>
        <v>680</v>
      </c>
    </row>
    <row r="153" spans="1:5" ht="15.75" customHeight="1" x14ac:dyDescent="0.25">
      <c r="A153" s="13" t="s">
        <v>145</v>
      </c>
      <c r="B153" s="14" t="s">
        <v>56</v>
      </c>
      <c r="C153" s="14" t="s">
        <v>56</v>
      </c>
      <c r="D153" s="14" t="s">
        <v>84</v>
      </c>
      <c r="E153" s="21">
        <f>E154+E155+E156</f>
        <v>2235</v>
      </c>
    </row>
    <row r="154" spans="1:5" x14ac:dyDescent="0.25">
      <c r="A154" s="13" t="s">
        <v>85</v>
      </c>
      <c r="B154" s="14" t="s">
        <v>56</v>
      </c>
      <c r="C154" s="14" t="s">
        <v>56</v>
      </c>
      <c r="D154" s="14" t="s">
        <v>86</v>
      </c>
      <c r="E154" s="15">
        <f>прил.3!O276+прил.3!O120+прил.3!O333</f>
        <v>1130</v>
      </c>
    </row>
    <row r="155" spans="1:5" ht="30" customHeight="1" x14ac:dyDescent="0.25">
      <c r="A155" s="42" t="s">
        <v>462</v>
      </c>
      <c r="B155" s="14" t="s">
        <v>56</v>
      </c>
      <c r="C155" s="14" t="s">
        <v>56</v>
      </c>
      <c r="D155" s="14" t="s">
        <v>460</v>
      </c>
      <c r="E155" s="15">
        <f>прил.3!O335+прил.3!O277</f>
        <v>401</v>
      </c>
    </row>
    <row r="156" spans="1:5" ht="15.75" customHeight="1" x14ac:dyDescent="0.25">
      <c r="A156" s="41" t="s">
        <v>458</v>
      </c>
      <c r="B156" s="14" t="s">
        <v>56</v>
      </c>
      <c r="C156" s="14" t="s">
        <v>56</v>
      </c>
      <c r="D156" s="14" t="s">
        <v>599</v>
      </c>
      <c r="E156" s="15">
        <f>прил.3!O337+прил.3!O279</f>
        <v>704</v>
      </c>
    </row>
    <row r="157" spans="1:5" x14ac:dyDescent="0.25">
      <c r="A157" s="10" t="s">
        <v>62</v>
      </c>
      <c r="B157" s="11" t="s">
        <v>56</v>
      </c>
      <c r="C157" s="11" t="s">
        <v>63</v>
      </c>
      <c r="D157" s="11" t="s">
        <v>130</v>
      </c>
      <c r="E157" s="12">
        <f>E160+E163+E164+E165+E158+E159</f>
        <v>7034.75</v>
      </c>
    </row>
    <row r="158" spans="1:5" ht="31.5" x14ac:dyDescent="0.25">
      <c r="A158" s="24" t="s">
        <v>121</v>
      </c>
      <c r="B158" s="14" t="s">
        <v>56</v>
      </c>
      <c r="C158" s="14" t="s">
        <v>63</v>
      </c>
      <c r="D158" s="14" t="s">
        <v>597</v>
      </c>
      <c r="E158" s="15">
        <f>прил.3!O282</f>
        <v>122</v>
      </c>
    </row>
    <row r="159" spans="1:5" ht="29.25" customHeight="1" x14ac:dyDescent="0.25">
      <c r="A159" s="13" t="s">
        <v>171</v>
      </c>
      <c r="B159" s="14" t="s">
        <v>56</v>
      </c>
      <c r="C159" s="14" t="s">
        <v>63</v>
      </c>
      <c r="D159" s="14" t="s">
        <v>438</v>
      </c>
      <c r="E159" s="15">
        <f>прил.3!O284</f>
        <v>1982.8</v>
      </c>
    </row>
    <row r="160" spans="1:5" x14ac:dyDescent="0.25">
      <c r="A160" s="13" t="s">
        <v>146</v>
      </c>
      <c r="B160" s="14" t="s">
        <v>56</v>
      </c>
      <c r="C160" s="14" t="s">
        <v>63</v>
      </c>
      <c r="D160" s="14" t="s">
        <v>147</v>
      </c>
      <c r="E160" s="15">
        <f>E161+E162</f>
        <v>800</v>
      </c>
    </row>
    <row r="161" spans="1:7" x14ac:dyDescent="0.25">
      <c r="A161" s="13" t="s">
        <v>60</v>
      </c>
      <c r="B161" s="14" t="s">
        <v>56</v>
      </c>
      <c r="C161" s="14" t="s">
        <v>63</v>
      </c>
      <c r="D161" s="14" t="s">
        <v>64</v>
      </c>
      <c r="E161" s="15">
        <f>прил.3!O123</f>
        <v>470</v>
      </c>
    </row>
    <row r="162" spans="1:7" x14ac:dyDescent="0.25">
      <c r="A162" s="41" t="s">
        <v>385</v>
      </c>
      <c r="B162" s="14" t="s">
        <v>56</v>
      </c>
      <c r="C162" s="14" t="s">
        <v>63</v>
      </c>
      <c r="D162" s="14" t="s">
        <v>436</v>
      </c>
      <c r="E162" s="15">
        <f>прил.3!O125</f>
        <v>330</v>
      </c>
    </row>
    <row r="163" spans="1:7" ht="31.5" customHeight="1" x14ac:dyDescent="0.25">
      <c r="A163" s="19" t="s">
        <v>365</v>
      </c>
      <c r="B163" s="14" t="s">
        <v>56</v>
      </c>
      <c r="C163" s="14" t="s">
        <v>63</v>
      </c>
      <c r="D163" s="38" t="s">
        <v>313</v>
      </c>
      <c r="E163" s="15">
        <f>прил.3!O127</f>
        <v>3023.95</v>
      </c>
    </row>
    <row r="164" spans="1:7" ht="31.5" customHeight="1" x14ac:dyDescent="0.25">
      <c r="A164" s="19" t="s">
        <v>366</v>
      </c>
      <c r="B164" s="14" t="s">
        <v>56</v>
      </c>
      <c r="C164" s="14" t="s">
        <v>63</v>
      </c>
      <c r="D164" s="38" t="s">
        <v>435</v>
      </c>
      <c r="E164" s="15">
        <f>прил.3!O129</f>
        <v>300</v>
      </c>
    </row>
    <row r="165" spans="1:7" ht="18" customHeight="1" x14ac:dyDescent="0.25">
      <c r="A165" s="19" t="s">
        <v>397</v>
      </c>
      <c r="B165" s="14" t="s">
        <v>56</v>
      </c>
      <c r="C165" s="14" t="s">
        <v>63</v>
      </c>
      <c r="D165" s="38" t="s">
        <v>434</v>
      </c>
      <c r="E165" s="89">
        <f>прил.3!O131-194</f>
        <v>806</v>
      </c>
    </row>
    <row r="166" spans="1:7" x14ac:dyDescent="0.25">
      <c r="A166" s="29" t="s">
        <v>227</v>
      </c>
      <c r="B166" s="11" t="s">
        <v>43</v>
      </c>
      <c r="C166" s="11" t="s">
        <v>16</v>
      </c>
      <c r="D166" s="11" t="s">
        <v>130</v>
      </c>
      <c r="E166" s="12">
        <f>E167</f>
        <v>6366.2000000000007</v>
      </c>
      <c r="G166" s="68"/>
    </row>
    <row r="167" spans="1:7" x14ac:dyDescent="0.25">
      <c r="A167" s="10" t="s">
        <v>148</v>
      </c>
      <c r="B167" s="11" t="s">
        <v>43</v>
      </c>
      <c r="C167" s="11" t="s">
        <v>15</v>
      </c>
      <c r="D167" s="11" t="s">
        <v>130</v>
      </c>
      <c r="E167" s="12">
        <f>E168+E171+E173</f>
        <v>6366.2000000000007</v>
      </c>
    </row>
    <row r="168" spans="1:7" ht="15.75" customHeight="1" x14ac:dyDescent="0.25">
      <c r="A168" s="19" t="s">
        <v>293</v>
      </c>
      <c r="B168" s="14" t="s">
        <v>43</v>
      </c>
      <c r="C168" s="14" t="s">
        <v>15</v>
      </c>
      <c r="D168" s="14" t="s">
        <v>89</v>
      </c>
      <c r="E168" s="15">
        <f>E169+E170</f>
        <v>5504.2000000000007</v>
      </c>
    </row>
    <row r="169" spans="1:7" ht="16.5" customHeight="1" x14ac:dyDescent="0.25">
      <c r="A169" s="13" t="s">
        <v>52</v>
      </c>
      <c r="B169" s="14" t="s">
        <v>43</v>
      </c>
      <c r="C169" s="14" t="s">
        <v>15</v>
      </c>
      <c r="D169" s="14" t="s">
        <v>75</v>
      </c>
      <c r="E169" s="15">
        <f>прил.3!O400</f>
        <v>1708.9</v>
      </c>
    </row>
    <row r="170" spans="1:7" ht="17.25" customHeight="1" x14ac:dyDescent="0.25">
      <c r="A170" s="13" t="s">
        <v>151</v>
      </c>
      <c r="B170" s="14" t="s">
        <v>43</v>
      </c>
      <c r="C170" s="14" t="s">
        <v>15</v>
      </c>
      <c r="D170" s="14" t="s">
        <v>117</v>
      </c>
      <c r="E170" s="15">
        <f>прил.3!O385</f>
        <v>3795.3</v>
      </c>
    </row>
    <row r="171" spans="1:7" ht="15" customHeight="1" x14ac:dyDescent="0.25">
      <c r="A171" s="13" t="s">
        <v>149</v>
      </c>
      <c r="B171" s="14" t="s">
        <v>43</v>
      </c>
      <c r="C171" s="14" t="s">
        <v>15</v>
      </c>
      <c r="D171" s="14" t="s">
        <v>150</v>
      </c>
      <c r="E171" s="15">
        <f>E172</f>
        <v>800</v>
      </c>
    </row>
    <row r="172" spans="1:7" ht="29.25" customHeight="1" x14ac:dyDescent="0.25">
      <c r="A172" s="13" t="s">
        <v>111</v>
      </c>
      <c r="B172" s="14" t="s">
        <v>44</v>
      </c>
      <c r="C172" s="14" t="s">
        <v>15</v>
      </c>
      <c r="D172" s="14" t="s">
        <v>65</v>
      </c>
      <c r="E172" s="15">
        <f>прил.3!O135</f>
        <v>800</v>
      </c>
    </row>
    <row r="173" spans="1:7" x14ac:dyDescent="0.25">
      <c r="A173" s="123" t="s">
        <v>581</v>
      </c>
      <c r="B173" s="14" t="s">
        <v>43</v>
      </c>
      <c r="C173" s="14" t="s">
        <v>15</v>
      </c>
      <c r="D173" s="14" t="s">
        <v>601</v>
      </c>
      <c r="E173" s="15">
        <f>прил.3!O394</f>
        <v>62</v>
      </c>
    </row>
    <row r="174" spans="1:7" hidden="1" x14ac:dyDescent="0.25">
      <c r="A174" s="29" t="s">
        <v>193</v>
      </c>
      <c r="B174" s="11" t="s">
        <v>63</v>
      </c>
      <c r="C174" s="11" t="s">
        <v>16</v>
      </c>
      <c r="D174" s="11" t="s">
        <v>130</v>
      </c>
      <c r="E174" s="12">
        <f>E175</f>
        <v>0</v>
      </c>
    </row>
    <row r="175" spans="1:7" hidden="1" x14ac:dyDescent="0.25">
      <c r="A175" s="10" t="s">
        <v>198</v>
      </c>
      <c r="B175" s="11" t="s">
        <v>63</v>
      </c>
      <c r="C175" s="11" t="s">
        <v>63</v>
      </c>
      <c r="D175" s="11" t="s">
        <v>130</v>
      </c>
      <c r="E175" s="12">
        <f>E176</f>
        <v>0</v>
      </c>
    </row>
    <row r="176" spans="1:7" hidden="1" x14ac:dyDescent="0.25">
      <c r="A176" s="13" t="s">
        <v>38</v>
      </c>
      <c r="B176" s="14" t="s">
        <v>63</v>
      </c>
      <c r="C176" s="14" t="s">
        <v>63</v>
      </c>
      <c r="D176" s="14" t="s">
        <v>39</v>
      </c>
      <c r="E176" s="15">
        <f>E177+E178</f>
        <v>0</v>
      </c>
    </row>
    <row r="177" spans="1:7" ht="31.5" hidden="1" x14ac:dyDescent="0.25">
      <c r="A177" s="13" t="s">
        <v>195</v>
      </c>
      <c r="B177" s="14" t="s">
        <v>63</v>
      </c>
      <c r="C177" s="14" t="s">
        <v>63</v>
      </c>
      <c r="D177" s="14" t="s">
        <v>167</v>
      </c>
      <c r="E177" s="15"/>
    </row>
    <row r="178" spans="1:7" ht="15" hidden="1" customHeight="1" x14ac:dyDescent="0.25">
      <c r="A178" s="13" t="s">
        <v>196</v>
      </c>
      <c r="B178" s="14" t="s">
        <v>63</v>
      </c>
      <c r="C178" s="14" t="s">
        <v>63</v>
      </c>
      <c r="D178" s="14" t="s">
        <v>168</v>
      </c>
      <c r="E178" s="15">
        <f>прил.3!O290</f>
        <v>0</v>
      </c>
    </row>
    <row r="179" spans="1:7" x14ac:dyDescent="0.25">
      <c r="A179" s="29" t="s">
        <v>67</v>
      </c>
      <c r="B179" s="11" t="s">
        <v>68</v>
      </c>
      <c r="C179" s="11" t="s">
        <v>16</v>
      </c>
      <c r="D179" s="11" t="s">
        <v>130</v>
      </c>
      <c r="E179" s="12">
        <f>E182+E185+E192+E198+E180</f>
        <v>22070.16</v>
      </c>
      <c r="G179" s="68"/>
    </row>
    <row r="180" spans="1:7" x14ac:dyDescent="0.25">
      <c r="A180" s="34" t="s">
        <v>389</v>
      </c>
      <c r="B180" s="11" t="s">
        <v>68</v>
      </c>
      <c r="C180" s="11" t="s">
        <v>15</v>
      </c>
      <c r="D180" s="11" t="s">
        <v>130</v>
      </c>
      <c r="E180" s="12">
        <f>E181</f>
        <v>473.8</v>
      </c>
    </row>
    <row r="181" spans="1:7" ht="14.25" customHeight="1" x14ac:dyDescent="0.25">
      <c r="A181" s="42" t="s">
        <v>431</v>
      </c>
      <c r="B181" s="14" t="s">
        <v>68</v>
      </c>
      <c r="C181" s="14" t="s">
        <v>15</v>
      </c>
      <c r="D181" s="38" t="s">
        <v>432</v>
      </c>
      <c r="E181" s="15">
        <f>прил.3!O341</f>
        <v>473.8</v>
      </c>
    </row>
    <row r="182" spans="1:7" x14ac:dyDescent="0.25">
      <c r="A182" s="10" t="s">
        <v>90</v>
      </c>
      <c r="B182" s="11" t="s">
        <v>68</v>
      </c>
      <c r="C182" s="11" t="s">
        <v>17</v>
      </c>
      <c r="D182" s="11" t="s">
        <v>130</v>
      </c>
      <c r="E182" s="12">
        <f>E183</f>
        <v>4237.8999999999996</v>
      </c>
    </row>
    <row r="183" spans="1:7" ht="13.5" customHeight="1" x14ac:dyDescent="0.25">
      <c r="A183" s="13" t="s">
        <v>91</v>
      </c>
      <c r="B183" s="14" t="s">
        <v>68</v>
      </c>
      <c r="C183" s="14" t="s">
        <v>17</v>
      </c>
      <c r="D183" s="14" t="s">
        <v>92</v>
      </c>
      <c r="E183" s="15">
        <f>E184</f>
        <v>4237.8999999999996</v>
      </c>
    </row>
    <row r="184" spans="1:7" ht="45" customHeight="1" x14ac:dyDescent="0.25">
      <c r="A184" s="13" t="s">
        <v>181</v>
      </c>
      <c r="B184" s="14" t="s">
        <v>68</v>
      </c>
      <c r="C184" s="14" t="s">
        <v>17</v>
      </c>
      <c r="D184" s="14" t="s">
        <v>93</v>
      </c>
      <c r="E184" s="15">
        <f>прил.3!O294</f>
        <v>4237.8999999999996</v>
      </c>
    </row>
    <row r="185" spans="1:7" x14ac:dyDescent="0.25">
      <c r="A185" s="10" t="s">
        <v>69</v>
      </c>
      <c r="B185" s="11" t="s">
        <v>68</v>
      </c>
      <c r="C185" s="11" t="s">
        <v>20</v>
      </c>
      <c r="D185" s="11" t="s">
        <v>130</v>
      </c>
      <c r="E185" s="12">
        <f>E188+E191+E187+E186+E190</f>
        <v>5227.22</v>
      </c>
    </row>
    <row r="186" spans="1:7" x14ac:dyDescent="0.25">
      <c r="A186" s="126" t="s">
        <v>464</v>
      </c>
      <c r="B186" s="14" t="s">
        <v>68</v>
      </c>
      <c r="C186" s="14" t="s">
        <v>20</v>
      </c>
      <c r="D186" s="14" t="s">
        <v>465</v>
      </c>
      <c r="E186" s="15">
        <f>прил.3!O344</f>
        <v>99.54</v>
      </c>
    </row>
    <row r="187" spans="1:7" x14ac:dyDescent="0.25">
      <c r="A187" s="13" t="s">
        <v>102</v>
      </c>
      <c r="B187" s="14" t="s">
        <v>68</v>
      </c>
      <c r="C187" s="14" t="s">
        <v>20</v>
      </c>
      <c r="D187" s="14" t="s">
        <v>70</v>
      </c>
      <c r="E187" s="15">
        <f>прил.3!O346</f>
        <v>1104.3</v>
      </c>
    </row>
    <row r="188" spans="1:7" ht="17.25" customHeight="1" x14ac:dyDescent="0.25">
      <c r="A188" s="13" t="s">
        <v>71</v>
      </c>
      <c r="B188" s="14" t="s">
        <v>68</v>
      </c>
      <c r="C188" s="14" t="s">
        <v>20</v>
      </c>
      <c r="D188" s="14" t="s">
        <v>153</v>
      </c>
      <c r="E188" s="15">
        <f>E189</f>
        <v>2160</v>
      </c>
    </row>
    <row r="189" spans="1:7" x14ac:dyDescent="0.25">
      <c r="A189" s="13" t="s">
        <v>72</v>
      </c>
      <c r="B189" s="14" t="s">
        <v>68</v>
      </c>
      <c r="C189" s="14" t="s">
        <v>20</v>
      </c>
      <c r="D189" s="14" t="s">
        <v>73</v>
      </c>
      <c r="E189" s="15">
        <f>прил.3!O139+прил.3!O348</f>
        <v>2160</v>
      </c>
    </row>
    <row r="190" spans="1:7" x14ac:dyDescent="0.25">
      <c r="A190" s="42" t="s">
        <v>467</v>
      </c>
      <c r="B190" s="14" t="s">
        <v>68</v>
      </c>
      <c r="C190" s="14" t="s">
        <v>20</v>
      </c>
      <c r="D190" s="14" t="s">
        <v>468</v>
      </c>
      <c r="E190" s="15">
        <f>прил.3!O350</f>
        <v>136.58000000000001</v>
      </c>
    </row>
    <row r="191" spans="1:7" ht="31.5" customHeight="1" x14ac:dyDescent="0.25">
      <c r="A191" s="13" t="s">
        <v>367</v>
      </c>
      <c r="B191" s="14" t="s">
        <v>68</v>
      </c>
      <c r="C191" s="14" t="s">
        <v>20</v>
      </c>
      <c r="D191" s="14" t="s">
        <v>170</v>
      </c>
      <c r="E191" s="15">
        <f>прил.3!O352</f>
        <v>1726.8</v>
      </c>
    </row>
    <row r="192" spans="1:7" x14ac:dyDescent="0.25">
      <c r="A192" s="10" t="s">
        <v>74</v>
      </c>
      <c r="B192" s="11" t="s">
        <v>68</v>
      </c>
      <c r="C192" s="11" t="s">
        <v>24</v>
      </c>
      <c r="D192" s="11" t="s">
        <v>130</v>
      </c>
      <c r="E192" s="12">
        <f>E194+E193</f>
        <v>6839.6500000000005</v>
      </c>
    </row>
    <row r="193" spans="1:7" ht="31.5" x14ac:dyDescent="0.25">
      <c r="A193" s="13" t="s">
        <v>627</v>
      </c>
      <c r="B193" s="14" t="s">
        <v>68</v>
      </c>
      <c r="C193" s="14" t="s">
        <v>24</v>
      </c>
      <c r="D193" s="14" t="s">
        <v>593</v>
      </c>
      <c r="E193" s="15">
        <f>прил.3!O142</f>
        <v>117.8</v>
      </c>
    </row>
    <row r="194" spans="1:7" ht="14.25" customHeight="1" x14ac:dyDescent="0.25">
      <c r="A194" s="13" t="s">
        <v>79</v>
      </c>
      <c r="B194" s="14" t="s">
        <v>68</v>
      </c>
      <c r="C194" s="14" t="s">
        <v>24</v>
      </c>
      <c r="D194" s="14" t="s">
        <v>94</v>
      </c>
      <c r="E194" s="15">
        <f>E195+E196+E197</f>
        <v>6721.85</v>
      </c>
    </row>
    <row r="195" spans="1:7" ht="60" customHeight="1" x14ac:dyDescent="0.25">
      <c r="A195" s="19" t="s">
        <v>289</v>
      </c>
      <c r="B195" s="14" t="s">
        <v>68</v>
      </c>
      <c r="C195" s="14" t="s">
        <v>24</v>
      </c>
      <c r="D195" s="14" t="s">
        <v>114</v>
      </c>
      <c r="E195" s="15">
        <f>прил.3!O144</f>
        <v>1708.9</v>
      </c>
    </row>
    <row r="196" spans="1:7" ht="30" customHeight="1" x14ac:dyDescent="0.25">
      <c r="A196" s="19" t="s">
        <v>330</v>
      </c>
      <c r="B196" s="14" t="s">
        <v>68</v>
      </c>
      <c r="C196" s="14" t="s">
        <v>24</v>
      </c>
      <c r="D196" s="38" t="s">
        <v>329</v>
      </c>
      <c r="E196" s="15">
        <f>прил.3!O146</f>
        <v>632.6</v>
      </c>
    </row>
    <row r="197" spans="1:7" ht="76.5" customHeight="1" x14ac:dyDescent="0.25">
      <c r="A197" s="19" t="s">
        <v>368</v>
      </c>
      <c r="B197" s="23" t="s">
        <v>68</v>
      </c>
      <c r="C197" s="14" t="s">
        <v>24</v>
      </c>
      <c r="D197" s="14" t="s">
        <v>331</v>
      </c>
      <c r="E197" s="15">
        <f>прил.3!O150</f>
        <v>4380.3500000000004</v>
      </c>
    </row>
    <row r="198" spans="1:7" ht="15.75" customHeight="1" x14ac:dyDescent="0.25">
      <c r="A198" s="10" t="s">
        <v>103</v>
      </c>
      <c r="B198" s="11" t="s">
        <v>68</v>
      </c>
      <c r="C198" s="11" t="s">
        <v>98</v>
      </c>
      <c r="D198" s="11" t="s">
        <v>130</v>
      </c>
      <c r="E198" s="12">
        <f>E199+E200+E201+E202</f>
        <v>5291.5900000000011</v>
      </c>
    </row>
    <row r="199" spans="1:7" x14ac:dyDescent="0.25">
      <c r="A199" s="13" t="s">
        <v>22</v>
      </c>
      <c r="B199" s="14" t="s">
        <v>68</v>
      </c>
      <c r="C199" s="14" t="s">
        <v>98</v>
      </c>
      <c r="D199" s="14" t="s">
        <v>104</v>
      </c>
      <c r="E199" s="15">
        <f>прил.3!O355</f>
        <v>3353.9000000000005</v>
      </c>
    </row>
    <row r="200" spans="1:7" ht="29.25" customHeight="1" x14ac:dyDescent="0.25">
      <c r="A200" s="19" t="s">
        <v>281</v>
      </c>
      <c r="B200" s="14" t="s">
        <v>68</v>
      </c>
      <c r="C200" s="14" t="s">
        <v>98</v>
      </c>
      <c r="D200" s="38" t="s">
        <v>332</v>
      </c>
      <c r="E200" s="15">
        <f>прил.3!O361</f>
        <v>886.8</v>
      </c>
    </row>
    <row r="201" spans="1:7" ht="28.5" customHeight="1" x14ac:dyDescent="0.25">
      <c r="A201" s="19" t="s">
        <v>333</v>
      </c>
      <c r="B201" s="14" t="s">
        <v>68</v>
      </c>
      <c r="C201" s="14" t="s">
        <v>98</v>
      </c>
      <c r="D201" s="38" t="s">
        <v>322</v>
      </c>
      <c r="E201" s="15">
        <f>прил.3!O366</f>
        <v>158.34000000000003</v>
      </c>
    </row>
    <row r="202" spans="1:7" ht="30.75" customHeight="1" x14ac:dyDescent="0.25">
      <c r="A202" s="13" t="s">
        <v>598</v>
      </c>
      <c r="B202" s="14" t="s">
        <v>68</v>
      </c>
      <c r="C202" s="14" t="s">
        <v>98</v>
      </c>
      <c r="D202" s="17" t="s">
        <v>175</v>
      </c>
      <c r="E202" s="15">
        <f>прил.3!O371</f>
        <v>892.55</v>
      </c>
    </row>
    <row r="203" spans="1:7" x14ac:dyDescent="0.25">
      <c r="A203" s="29" t="s">
        <v>192</v>
      </c>
      <c r="B203" s="11" t="s">
        <v>107</v>
      </c>
      <c r="C203" s="11" t="s">
        <v>16</v>
      </c>
      <c r="D203" s="11" t="s">
        <v>130</v>
      </c>
      <c r="E203" s="12">
        <f>E204+E208</f>
        <v>4628.8100000000004</v>
      </c>
      <c r="G203" s="68"/>
    </row>
    <row r="204" spans="1:7" x14ac:dyDescent="0.25">
      <c r="A204" s="13" t="s">
        <v>194</v>
      </c>
      <c r="B204" s="14" t="s">
        <v>107</v>
      </c>
      <c r="C204" s="14" t="s">
        <v>15</v>
      </c>
      <c r="D204" s="14" t="s">
        <v>130</v>
      </c>
      <c r="E204" s="15">
        <f>E205+E207</f>
        <v>4600</v>
      </c>
    </row>
    <row r="205" spans="1:7" ht="17.25" customHeight="1" x14ac:dyDescent="0.25">
      <c r="A205" s="13" t="s">
        <v>105</v>
      </c>
      <c r="B205" s="14" t="s">
        <v>107</v>
      </c>
      <c r="C205" s="14" t="s">
        <v>15</v>
      </c>
      <c r="D205" s="14" t="s">
        <v>106</v>
      </c>
      <c r="E205" s="15">
        <f>E206</f>
        <v>1100</v>
      </c>
    </row>
    <row r="206" spans="1:7" ht="15" customHeight="1" x14ac:dyDescent="0.25">
      <c r="A206" s="13" t="s">
        <v>199</v>
      </c>
      <c r="B206" s="14" t="s">
        <v>107</v>
      </c>
      <c r="C206" s="14" t="s">
        <v>15</v>
      </c>
      <c r="D206" s="14" t="s">
        <v>66</v>
      </c>
      <c r="E206" s="15">
        <f>прил.3!O154</f>
        <v>1100</v>
      </c>
    </row>
    <row r="207" spans="1:7" ht="13.5" customHeight="1" x14ac:dyDescent="0.25">
      <c r="A207" s="13" t="s">
        <v>52</v>
      </c>
      <c r="B207" s="14" t="s">
        <v>107</v>
      </c>
      <c r="C207" s="14" t="s">
        <v>15</v>
      </c>
      <c r="D207" s="38" t="s">
        <v>334</v>
      </c>
      <c r="E207" s="15">
        <f>прил.3!O301</f>
        <v>3500</v>
      </c>
    </row>
    <row r="208" spans="1:7" ht="16.5" customHeight="1" x14ac:dyDescent="0.25">
      <c r="A208" s="40" t="s">
        <v>511</v>
      </c>
      <c r="B208" s="14" t="s">
        <v>107</v>
      </c>
      <c r="C208" s="14" t="s">
        <v>17</v>
      </c>
      <c r="D208" s="38" t="s">
        <v>130</v>
      </c>
      <c r="E208" s="15">
        <f>E209</f>
        <v>28.81</v>
      </c>
    </row>
    <row r="209" spans="1:7" ht="30" customHeight="1" x14ac:dyDescent="0.25">
      <c r="A209" s="19" t="s">
        <v>512</v>
      </c>
      <c r="B209" s="14" t="s">
        <v>107</v>
      </c>
      <c r="C209" s="14" t="s">
        <v>17</v>
      </c>
      <c r="D209" s="38" t="s">
        <v>513</v>
      </c>
      <c r="E209" s="15">
        <f>прил.3!O157</f>
        <v>28.81</v>
      </c>
    </row>
    <row r="210" spans="1:7" x14ac:dyDescent="0.25">
      <c r="A210" s="29" t="s">
        <v>191</v>
      </c>
      <c r="B210" s="11" t="s">
        <v>27</v>
      </c>
      <c r="C210" s="11" t="s">
        <v>16</v>
      </c>
      <c r="D210" s="11" t="s">
        <v>130</v>
      </c>
      <c r="E210" s="12">
        <f>E211</f>
        <v>1617.5</v>
      </c>
      <c r="G210" s="68"/>
    </row>
    <row r="211" spans="1:7" x14ac:dyDescent="0.25">
      <c r="A211" s="13" t="s">
        <v>152</v>
      </c>
      <c r="B211" s="14" t="s">
        <v>27</v>
      </c>
      <c r="C211" s="14" t="s">
        <v>17</v>
      </c>
      <c r="D211" s="14" t="s">
        <v>130</v>
      </c>
      <c r="E211" s="15">
        <f>E212</f>
        <v>1617.5</v>
      </c>
    </row>
    <row r="212" spans="1:7" ht="31.5" x14ac:dyDescent="0.25">
      <c r="A212" s="13" t="s">
        <v>110</v>
      </c>
      <c r="B212" s="14" t="s">
        <v>27</v>
      </c>
      <c r="C212" s="14" t="s">
        <v>17</v>
      </c>
      <c r="D212" s="14" t="s">
        <v>600</v>
      </c>
      <c r="E212" s="15">
        <f>E213</f>
        <v>1617.5</v>
      </c>
    </row>
    <row r="213" spans="1:7" ht="31.5" x14ac:dyDescent="0.25">
      <c r="A213" s="13" t="s">
        <v>111</v>
      </c>
      <c r="B213" s="14" t="s">
        <v>27</v>
      </c>
      <c r="C213" s="14" t="s">
        <v>17</v>
      </c>
      <c r="D213" s="14" t="s">
        <v>600</v>
      </c>
      <c r="E213" s="15">
        <f>прил.3!O307</f>
        <v>1617.5</v>
      </c>
    </row>
    <row r="214" spans="1:7" ht="18.75" customHeight="1" x14ac:dyDescent="0.25">
      <c r="A214" s="29" t="s">
        <v>186</v>
      </c>
      <c r="B214" s="11" t="s">
        <v>185</v>
      </c>
      <c r="C214" s="11" t="s">
        <v>16</v>
      </c>
      <c r="D214" s="11" t="s">
        <v>130</v>
      </c>
      <c r="E214" s="12">
        <f>E215</f>
        <v>1013.8</v>
      </c>
      <c r="G214" s="68"/>
    </row>
    <row r="215" spans="1:7" ht="15.75" customHeight="1" x14ac:dyDescent="0.25">
      <c r="A215" s="10" t="s">
        <v>187</v>
      </c>
      <c r="B215" s="11" t="s">
        <v>185</v>
      </c>
      <c r="C215" s="11" t="s">
        <v>15</v>
      </c>
      <c r="D215" s="11" t="s">
        <v>130</v>
      </c>
      <c r="E215" s="12">
        <f>E216</f>
        <v>1013.8</v>
      </c>
    </row>
    <row r="216" spans="1:7" x14ac:dyDescent="0.25">
      <c r="A216" s="13" t="s">
        <v>109</v>
      </c>
      <c r="B216" s="14" t="s">
        <v>185</v>
      </c>
      <c r="C216" s="14" t="s">
        <v>15</v>
      </c>
      <c r="D216" s="14" t="s">
        <v>108</v>
      </c>
      <c r="E216" s="89">
        <f>прил.3!O312+194</f>
        <v>1013.8</v>
      </c>
    </row>
    <row r="217" spans="1:7" ht="27.75" customHeight="1" x14ac:dyDescent="0.25">
      <c r="A217" s="29" t="s">
        <v>188</v>
      </c>
      <c r="B217" s="11" t="s">
        <v>30</v>
      </c>
      <c r="C217" s="11" t="s">
        <v>16</v>
      </c>
      <c r="D217" s="11" t="s">
        <v>130</v>
      </c>
      <c r="E217" s="12">
        <f>E218+E223</f>
        <v>16785</v>
      </c>
      <c r="G217" s="68"/>
    </row>
    <row r="218" spans="1:7" ht="30" customHeight="1" x14ac:dyDescent="0.25">
      <c r="A218" s="10" t="s">
        <v>189</v>
      </c>
      <c r="B218" s="11" t="s">
        <v>30</v>
      </c>
      <c r="C218" s="11" t="s">
        <v>15</v>
      </c>
      <c r="D218" s="11" t="s">
        <v>130</v>
      </c>
      <c r="E218" s="12">
        <f>E219+E221</f>
        <v>8235</v>
      </c>
    </row>
    <row r="219" spans="1:7" x14ac:dyDescent="0.25">
      <c r="A219" s="13" t="s">
        <v>154</v>
      </c>
      <c r="B219" s="14" t="s">
        <v>30</v>
      </c>
      <c r="C219" s="14" t="s">
        <v>15</v>
      </c>
      <c r="D219" s="14" t="s">
        <v>155</v>
      </c>
      <c r="E219" s="15">
        <f>E220</f>
        <v>8235</v>
      </c>
    </row>
    <row r="220" spans="1:7" ht="29.25" customHeight="1" x14ac:dyDescent="0.25">
      <c r="A220" s="77" t="s">
        <v>112</v>
      </c>
      <c r="B220" s="14" t="s">
        <v>30</v>
      </c>
      <c r="C220" s="14" t="s">
        <v>15</v>
      </c>
      <c r="D220" s="14" t="s">
        <v>156</v>
      </c>
      <c r="E220" s="15">
        <f>прил.3!O316</f>
        <v>8235</v>
      </c>
    </row>
    <row r="221" spans="1:7" hidden="1" x14ac:dyDescent="0.25">
      <c r="A221" s="18" t="s">
        <v>190</v>
      </c>
      <c r="B221" s="86" t="s">
        <v>30</v>
      </c>
      <c r="C221" s="86" t="s">
        <v>17</v>
      </c>
      <c r="D221" s="86" t="s">
        <v>184</v>
      </c>
      <c r="E221" s="87">
        <f>E222</f>
        <v>0</v>
      </c>
    </row>
    <row r="222" spans="1:7" ht="30.75" hidden="1" customHeight="1" x14ac:dyDescent="0.25">
      <c r="A222" s="1" t="s">
        <v>182</v>
      </c>
      <c r="B222" s="88" t="s">
        <v>30</v>
      </c>
      <c r="C222" s="88" t="s">
        <v>17</v>
      </c>
      <c r="D222" s="88" t="s">
        <v>183</v>
      </c>
      <c r="E222" s="89">
        <v>0</v>
      </c>
    </row>
    <row r="223" spans="1:7" x14ac:dyDescent="0.25">
      <c r="A223" s="18" t="s">
        <v>113</v>
      </c>
      <c r="B223" s="11" t="s">
        <v>30</v>
      </c>
      <c r="C223" s="11" t="s">
        <v>20</v>
      </c>
      <c r="D223" s="11" t="s">
        <v>130</v>
      </c>
      <c r="E223" s="12">
        <f>E224</f>
        <v>8550</v>
      </c>
    </row>
    <row r="224" spans="1:7" ht="31.5" x14ac:dyDescent="0.25">
      <c r="A224" s="24" t="s">
        <v>621</v>
      </c>
      <c r="B224" s="14" t="s">
        <v>30</v>
      </c>
      <c r="C224" s="14" t="s">
        <v>20</v>
      </c>
      <c r="D224" s="14" t="s">
        <v>620</v>
      </c>
      <c r="E224" s="89">
        <f>прил.3!O321+7000</f>
        <v>8550</v>
      </c>
    </row>
    <row r="225" spans="1:7" ht="16.5" thickBot="1" x14ac:dyDescent="0.3">
      <c r="A225" s="25" t="s">
        <v>157</v>
      </c>
      <c r="B225" s="26"/>
      <c r="C225" s="26"/>
      <c r="D225" s="26"/>
      <c r="E225" s="27">
        <f>E13+E44+E47+E52+E82+E118+E166+E179+E203+E210+E214+E217</f>
        <v>609289.84</v>
      </c>
      <c r="G225" s="68"/>
    </row>
    <row r="226" spans="1:7" ht="22.5" hidden="1" customHeight="1" x14ac:dyDescent="0.25">
      <c r="E226" s="16">
        <f>E225-прил.3!O559</f>
        <v>20357.989999999991</v>
      </c>
    </row>
  </sheetData>
  <mergeCells count="9">
    <mergeCell ref="A6:E6"/>
    <mergeCell ref="A7:E7"/>
    <mergeCell ref="A8:E8"/>
    <mergeCell ref="A10:E10"/>
    <mergeCell ref="A1:E1"/>
    <mergeCell ref="A2:E2"/>
    <mergeCell ref="A3:E3"/>
    <mergeCell ref="A4:E4"/>
    <mergeCell ref="A5:E5"/>
  </mergeCells>
  <pageMargins left="0.47244094488188981" right="0" top="0.15748031496062992" bottom="7.874015748031496E-2" header="0" footer="0.11811023622047245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прил.3</vt:lpstr>
      <vt:lpstr>прил.4</vt:lpstr>
      <vt:lpstr>Лист1</vt:lpstr>
      <vt:lpstr>прил.3!Заголовки_для_печати</vt:lpstr>
      <vt:lpstr>прил.4!Заголовки_для_печати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2013-09-11T09:04:33Z</dcterms:modified>
</cp:coreProperties>
</file>