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октябрь 2024\"/>
    </mc:Choice>
  </mc:AlternateContent>
  <xr:revisionPtr revIDLastSave="0" documentId="13_ncr:1_{C62A40C5-9441-456C-A9C7-C692BB7F8BFF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риложение 1" sheetId="1" state="hidden" r:id="rId1"/>
    <sheet name="приложение 2" sheetId="2" state="hidden" r:id="rId2"/>
    <sheet name="план сент24" sheetId="6" r:id="rId3"/>
    <sheet name="Лист1" sheetId="7" state="hidden" r:id="rId4"/>
    <sheet name="Лист3" sheetId="9" state="hidden" r:id="rId5"/>
    <sheet name="Лист2" sheetId="10" state="hidden" r:id="rId6"/>
    <sheet name="Лист4" sheetId="11" state="hidden" r:id="rId7"/>
  </sheets>
  <externalReferences>
    <externalReference r:id="rId8"/>
    <externalReference r:id="rId9"/>
  </externalReferences>
  <definedNames>
    <definedName name="_xlnm._FilterDatabase" localSheetId="2" hidden="1">'план сент24'!$A$2:$AM$217</definedName>
    <definedName name="_xlnm.Print_Titles" localSheetId="2">'план сент24'!$8:$12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99" i="6" l="1"/>
  <c r="AF194" i="6"/>
  <c r="I95" i="6"/>
  <c r="AF89" i="6"/>
  <c r="AF18" i="6"/>
  <c r="AF17" i="6" s="1"/>
  <c r="AF20" i="6"/>
  <c r="AF19" i="6" s="1"/>
  <c r="AF23" i="6"/>
  <c r="AF22" i="6" s="1"/>
  <c r="AF25" i="6"/>
  <c r="AF24" i="6" s="1"/>
  <c r="AF32" i="6"/>
  <c r="AF31" i="6" s="1"/>
  <c r="AF36" i="6"/>
  <c r="AF35" i="6" s="1"/>
  <c r="AF43" i="6"/>
  <c r="AF44" i="6"/>
  <c r="AF47" i="6"/>
  <c r="AF48" i="6"/>
  <c r="AF49" i="6"/>
  <c r="AF50" i="6"/>
  <c r="AF51" i="6"/>
  <c r="AF52" i="6"/>
  <c r="AF53" i="6"/>
  <c r="AF54" i="6"/>
  <c r="AF55" i="6"/>
  <c r="AF56" i="6"/>
  <c r="AF57" i="6"/>
  <c r="AF58" i="6"/>
  <c r="AF59" i="6"/>
  <c r="AF60" i="6"/>
  <c r="AF61" i="6"/>
  <c r="AF62" i="6"/>
  <c r="AF64" i="6"/>
  <c r="AF65" i="6"/>
  <c r="AF66" i="6"/>
  <c r="AF67" i="6"/>
  <c r="AF68" i="6"/>
  <c r="AF70" i="6"/>
  <c r="AF71" i="6"/>
  <c r="AF73" i="6"/>
  <c r="AF75" i="6"/>
  <c r="AF77" i="6"/>
  <c r="AF80" i="6"/>
  <c r="AF81" i="6"/>
  <c r="AF82" i="6"/>
  <c r="AF83" i="6"/>
  <c r="AF87" i="6"/>
  <c r="AF90" i="6"/>
  <c r="AF93" i="6"/>
  <c r="AF94" i="6"/>
  <c r="AF99" i="6"/>
  <c r="AF103" i="6"/>
  <c r="AF104" i="6"/>
  <c r="AF106" i="6"/>
  <c r="AF107" i="6"/>
  <c r="AF108" i="6"/>
  <c r="AF109" i="6"/>
  <c r="AF110" i="6"/>
  <c r="AF112" i="6"/>
  <c r="AF113" i="6"/>
  <c r="AF114" i="6"/>
  <c r="AF115" i="6"/>
  <c r="AF116" i="6"/>
  <c r="AF117" i="6"/>
  <c r="AF118" i="6"/>
  <c r="AF121" i="6"/>
  <c r="AF122" i="6"/>
  <c r="AF123" i="6"/>
  <c r="AF124" i="6"/>
  <c r="AF125" i="6"/>
  <c r="AF127" i="6"/>
  <c r="AF128" i="6"/>
  <c r="AF129" i="6"/>
  <c r="AF130" i="6"/>
  <c r="AF131" i="6"/>
  <c r="AF132" i="6"/>
  <c r="AF136" i="6"/>
  <c r="AF138" i="6"/>
  <c r="AF139" i="6"/>
  <c r="AF140" i="6"/>
  <c r="AF141" i="6"/>
  <c r="AF142" i="6"/>
  <c r="AF143" i="6"/>
  <c r="AF144" i="6"/>
  <c r="AF145" i="6"/>
  <c r="AF146" i="6"/>
  <c r="AF147" i="6"/>
  <c r="AF149" i="6"/>
  <c r="AF151" i="6"/>
  <c r="AF152" i="6"/>
  <c r="AF153" i="6"/>
  <c r="AF154" i="6"/>
  <c r="AF156" i="6"/>
  <c r="AF157" i="6"/>
  <c r="AF160" i="6"/>
  <c r="AF161" i="6"/>
  <c r="AF162" i="6"/>
  <c r="AF163" i="6"/>
  <c r="AF164" i="6"/>
  <c r="AF165" i="6"/>
  <c r="AF166" i="6"/>
  <c r="AF168" i="6"/>
  <c r="AF169" i="6"/>
  <c r="AF170" i="6"/>
  <c r="AF171" i="6"/>
  <c r="AF175" i="6"/>
  <c r="AF174" i="6" s="1"/>
  <c r="AF179" i="6"/>
  <c r="AF180" i="6"/>
  <c r="AF181" i="6"/>
  <c r="AF182" i="6"/>
  <c r="AF187" i="6"/>
  <c r="AF183" i="6" s="1"/>
  <c r="AF195" i="6"/>
  <c r="AF196" i="6"/>
  <c r="AF197" i="6"/>
  <c r="AF198" i="6"/>
  <c r="AF200" i="6"/>
  <c r="AF205" i="6"/>
  <c r="AF207" i="6"/>
  <c r="AF211" i="6"/>
  <c r="AF214" i="6"/>
  <c r="AF215" i="6"/>
  <c r="AF217" i="6"/>
  <c r="AC18" i="6"/>
  <c r="AC17" i="6" s="1"/>
  <c r="AC19" i="6"/>
  <c r="AC22" i="6"/>
  <c r="AC24" i="6"/>
  <c r="AC31" i="6"/>
  <c r="AC30" i="6" s="1"/>
  <c r="AC35" i="6"/>
  <c r="AC34" i="6" s="1"/>
  <c r="AC42" i="6"/>
  <c r="AC41" i="6" s="1"/>
  <c r="AC46" i="6"/>
  <c r="AC63" i="6"/>
  <c r="AC69" i="6"/>
  <c r="AC74" i="6"/>
  <c r="AC77" i="6"/>
  <c r="AC79" i="6"/>
  <c r="AC85" i="6"/>
  <c r="AC86" i="6"/>
  <c r="AC95" i="6"/>
  <c r="AC96" i="6"/>
  <c r="AC102" i="6"/>
  <c r="AC105" i="6"/>
  <c r="AC111" i="6"/>
  <c r="AC120" i="6"/>
  <c r="AC133" i="6"/>
  <c r="AC135" i="6"/>
  <c r="AC148" i="6"/>
  <c r="AC155" i="6"/>
  <c r="AC159" i="6"/>
  <c r="AC167" i="6"/>
  <c r="AC174" i="6"/>
  <c r="AC178" i="6"/>
  <c r="AC183" i="6"/>
  <c r="AC200" i="6"/>
  <c r="AC205" i="6"/>
  <c r="AC207" i="6"/>
  <c r="AC211" i="6"/>
  <c r="AB211" i="6"/>
  <c r="AB207" i="6"/>
  <c r="AB205" i="6"/>
  <c r="AB200" i="6"/>
  <c r="AB183" i="6"/>
  <c r="AB178" i="6"/>
  <c r="AB174" i="6"/>
  <c r="AB167" i="6"/>
  <c r="AB159" i="6"/>
  <c r="AB155" i="6"/>
  <c r="AB148" i="6"/>
  <c r="AB135" i="6"/>
  <c r="AB133" i="6"/>
  <c r="AB120" i="6"/>
  <c r="AB111" i="6"/>
  <c r="AB105" i="6"/>
  <c r="AB102" i="6"/>
  <c r="AB96" i="6"/>
  <c r="AB95" i="6"/>
  <c r="AB86" i="6"/>
  <c r="AB85" i="6"/>
  <c r="AB79" i="6"/>
  <c r="AB77" i="6"/>
  <c r="AB74" i="6"/>
  <c r="AB69" i="6"/>
  <c r="AB63" i="6"/>
  <c r="AB46" i="6"/>
  <c r="AB41" i="6"/>
  <c r="AB35" i="6"/>
  <c r="AB34" i="6" s="1"/>
  <c r="AB31" i="6"/>
  <c r="AB30" i="6" s="1"/>
  <c r="AB24" i="6"/>
  <c r="AB22" i="6"/>
  <c r="AB19" i="6"/>
  <c r="AB18" i="6"/>
  <c r="AB17" i="6" s="1"/>
  <c r="AF155" i="6" l="1"/>
  <c r="AF95" i="6"/>
  <c r="AC158" i="6"/>
  <c r="AF105" i="6"/>
  <c r="AF111" i="6"/>
  <c r="AF46" i="6"/>
  <c r="AF63" i="6"/>
  <c r="AF167" i="6"/>
  <c r="AF102" i="6"/>
  <c r="AC172" i="6"/>
  <c r="AC33" i="6"/>
  <c r="AF204" i="6"/>
  <c r="AF178" i="6"/>
  <c r="AF173" i="6" s="1"/>
  <c r="AF159" i="6"/>
  <c r="AF158" i="6" s="1"/>
  <c r="AF79" i="6"/>
  <c r="AF42" i="6"/>
  <c r="AF41" i="6" s="1"/>
  <c r="AF33" i="6"/>
  <c r="AF34" i="6"/>
  <c r="AF29" i="6"/>
  <c r="AF30" i="6"/>
  <c r="AF15" i="6"/>
  <c r="AF16" i="6"/>
  <c r="AF203" i="6"/>
  <c r="AF96" i="6"/>
  <c r="AC119" i="6"/>
  <c r="AC40" i="6"/>
  <c r="AC173" i="6"/>
  <c r="AC203" i="6"/>
  <c r="AC101" i="6"/>
  <c r="AC15" i="6"/>
  <c r="AC16" i="6"/>
  <c r="AC39" i="6"/>
  <c r="AC29" i="6"/>
  <c r="AC204" i="6"/>
  <c r="AB172" i="6"/>
  <c r="AB119" i="6"/>
  <c r="AB158" i="6"/>
  <c r="AB101" i="6"/>
  <c r="AB40" i="6"/>
  <c r="AB173" i="6"/>
  <c r="AB204" i="6"/>
  <c r="AB16" i="6"/>
  <c r="AB15" i="6"/>
  <c r="AB203" i="6"/>
  <c r="AB29" i="6"/>
  <c r="AB33" i="6"/>
  <c r="AB39" i="6"/>
  <c r="AF101" i="6" l="1"/>
  <c r="AF172" i="6"/>
  <c r="AC193" i="6"/>
  <c r="AC192" i="6" s="1"/>
  <c r="AC13" i="6" s="1"/>
  <c r="AC100" i="6"/>
  <c r="AC84" i="6" s="1"/>
  <c r="AC14" i="6"/>
  <c r="AB100" i="6"/>
  <c r="AB84" i="6" s="1"/>
  <c r="AB193" i="6"/>
  <c r="AB191" i="6" s="1"/>
  <c r="AB190" i="6" s="1"/>
  <c r="AB14" i="6"/>
  <c r="AC191" i="6" l="1"/>
  <c r="AC190" i="6" s="1"/>
  <c r="AB192" i="6"/>
  <c r="AB13" i="6" s="1"/>
  <c r="E119" i="2"/>
  <c r="J12" i="1" l="1"/>
  <c r="I100" i="6"/>
  <c r="X211" i="6" l="1"/>
  <c r="Z86" i="6" l="1"/>
  <c r="X85" i="6"/>
  <c r="X86" i="6"/>
  <c r="Y86" i="6"/>
  <c r="Z85" i="6"/>
  <c r="J17" i="1"/>
  <c r="J18" i="1"/>
  <c r="J16" i="1"/>
  <c r="Z148" i="6"/>
  <c r="Y148" i="6"/>
  <c r="X148" i="6"/>
  <c r="W148" i="6"/>
  <c r="V148" i="6"/>
  <c r="U148" i="6"/>
  <c r="T148" i="6"/>
  <c r="S148" i="6"/>
  <c r="R148" i="6"/>
  <c r="P148" i="6"/>
  <c r="W86" i="6"/>
  <c r="V86" i="6"/>
  <c r="U86" i="6"/>
  <c r="T86" i="6"/>
  <c r="S86" i="6"/>
  <c r="R86" i="6"/>
  <c r="V85" i="6"/>
  <c r="S85" i="6"/>
  <c r="R85" i="6"/>
  <c r="Q85" i="6"/>
  <c r="R46" i="6"/>
  <c r="S192" i="6"/>
  <c r="S191" i="6"/>
  <c r="S190" i="6" s="1"/>
  <c r="S111" i="6"/>
  <c r="S101" i="6" s="1"/>
  <c r="U46" i="6"/>
  <c r="X46" i="6"/>
  <c r="S172" i="6" l="1"/>
  <c r="S174" i="6"/>
  <c r="S173" i="6" s="1"/>
  <c r="S167" i="6"/>
  <c r="S159" i="6"/>
  <c r="S155" i="6"/>
  <c r="S133" i="6"/>
  <c r="S120" i="6"/>
  <c r="S135" i="6"/>
  <c r="S158" i="6" l="1"/>
  <c r="S119" i="6"/>
  <c r="X76" i="6"/>
  <c r="AF76" i="6" s="1"/>
  <c r="AF74" i="6" s="1"/>
  <c r="S100" i="6" l="1"/>
  <c r="AG88" i="6"/>
  <c r="AG117" i="6"/>
  <c r="V211" i="6"/>
  <c r="V207" i="6"/>
  <c r="V205" i="6"/>
  <c r="V200" i="6"/>
  <c r="V193" i="6"/>
  <c r="V192" i="6" s="1"/>
  <c r="V183" i="6"/>
  <c r="V178" i="6"/>
  <c r="V174" i="6"/>
  <c r="V167" i="6"/>
  <c r="V159" i="6"/>
  <c r="V155" i="6"/>
  <c r="V135" i="6"/>
  <c r="V133" i="6"/>
  <c r="V120" i="6"/>
  <c r="V111" i="6"/>
  <c r="V105" i="6"/>
  <c r="V102" i="6"/>
  <c r="V96" i="6"/>
  <c r="V95" i="6"/>
  <c r="V79" i="6"/>
  <c r="V77" i="6"/>
  <c r="V74" i="6"/>
  <c r="V69" i="6"/>
  <c r="V63" i="6"/>
  <c r="V46" i="6"/>
  <c r="V41" i="6"/>
  <c r="V35" i="6"/>
  <c r="V34" i="6" s="1"/>
  <c r="V31" i="6"/>
  <c r="V30" i="6" s="1"/>
  <c r="V24" i="6"/>
  <c r="V22" i="6"/>
  <c r="V19" i="6"/>
  <c r="V18" i="6"/>
  <c r="V17" i="6" s="1"/>
  <c r="AG123" i="6"/>
  <c r="W211" i="6"/>
  <c r="W207" i="6"/>
  <c r="W205" i="6"/>
  <c r="W200" i="6"/>
  <c r="W193" i="6"/>
  <c r="W192" i="6" s="1"/>
  <c r="W183" i="6"/>
  <c r="W178" i="6"/>
  <c r="W174" i="6"/>
  <c r="W167" i="6"/>
  <c r="W159" i="6"/>
  <c r="W155" i="6"/>
  <c r="W135" i="6"/>
  <c r="W133" i="6"/>
  <c r="W120" i="6"/>
  <c r="W111" i="6"/>
  <c r="W105" i="6"/>
  <c r="W102" i="6"/>
  <c r="W96" i="6"/>
  <c r="W95" i="6"/>
  <c r="W85" i="6"/>
  <c r="W79" i="6"/>
  <c r="W77" i="6"/>
  <c r="W74" i="6"/>
  <c r="W69" i="6"/>
  <c r="W63" i="6"/>
  <c r="W46" i="6"/>
  <c r="W41" i="6"/>
  <c r="W35" i="6"/>
  <c r="W33" i="6" s="1"/>
  <c r="W31" i="6"/>
  <c r="W30" i="6" s="1"/>
  <c r="W24" i="6"/>
  <c r="W22" i="6"/>
  <c r="W19" i="6"/>
  <c r="W18" i="6"/>
  <c r="W17" i="6" s="1"/>
  <c r="X216" i="6"/>
  <c r="AF216" i="6" s="1"/>
  <c r="X137" i="6"/>
  <c r="Z63" i="6"/>
  <c r="Y63" i="6"/>
  <c r="X63" i="6"/>
  <c r="Z211" i="6"/>
  <c r="Z207" i="6"/>
  <c r="Z205" i="6"/>
  <c r="Z200" i="6"/>
  <c r="Z183" i="6"/>
  <c r="Z178" i="6"/>
  <c r="Z174" i="6"/>
  <c r="Z167" i="6"/>
  <c r="Z159" i="6"/>
  <c r="Z155" i="6"/>
  <c r="Z135" i="6"/>
  <c r="Z133" i="6"/>
  <c r="Z120" i="6"/>
  <c r="Z111" i="6"/>
  <c r="Z105" i="6"/>
  <c r="Z102" i="6"/>
  <c r="Z96" i="6"/>
  <c r="Z95" i="6"/>
  <c r="Z79" i="6"/>
  <c r="Z77" i="6"/>
  <c r="Z74" i="6"/>
  <c r="Z69" i="6"/>
  <c r="Z46" i="6"/>
  <c r="Z41" i="6"/>
  <c r="Z35" i="6"/>
  <c r="Z34" i="6" s="1"/>
  <c r="Z31" i="6"/>
  <c r="Z29" i="6" s="1"/>
  <c r="Z24" i="6"/>
  <c r="Z22" i="6"/>
  <c r="Z19" i="6"/>
  <c r="Z18" i="6"/>
  <c r="Z17" i="6" s="1"/>
  <c r="Y211" i="6"/>
  <c r="Y207" i="6"/>
  <c r="Y205" i="6"/>
  <c r="Y200" i="6"/>
  <c r="Y183" i="6"/>
  <c r="Y178" i="6"/>
  <c r="Y174" i="6"/>
  <c r="Y167" i="6"/>
  <c r="Y159" i="6"/>
  <c r="Y155" i="6"/>
  <c r="Y135" i="6"/>
  <c r="Y133" i="6"/>
  <c r="Y120" i="6"/>
  <c r="Y111" i="6"/>
  <c r="Y105" i="6"/>
  <c r="Y102" i="6"/>
  <c r="Y96" i="6"/>
  <c r="Y95" i="6"/>
  <c r="Y85" i="6"/>
  <c r="Y79" i="6"/>
  <c r="Y77" i="6"/>
  <c r="Y74" i="6"/>
  <c r="Y69" i="6"/>
  <c r="Y46" i="6"/>
  <c r="Y41" i="6"/>
  <c r="Y35" i="6"/>
  <c r="Y34" i="6" s="1"/>
  <c r="Y31" i="6"/>
  <c r="Y30" i="6" s="1"/>
  <c r="Y24" i="6"/>
  <c r="Y22" i="6"/>
  <c r="Y19" i="6"/>
  <c r="Y18" i="6"/>
  <c r="Y17" i="6" s="1"/>
  <c r="AH64" i="6"/>
  <c r="AG43" i="6"/>
  <c r="X135" i="6" l="1"/>
  <c r="AF137" i="6"/>
  <c r="AF135" i="6" s="1"/>
  <c r="V191" i="6"/>
  <c r="W34" i="6"/>
  <c r="V101" i="6"/>
  <c r="W119" i="6"/>
  <c r="V33" i="6"/>
  <c r="V172" i="6"/>
  <c r="V204" i="6"/>
  <c r="W158" i="6"/>
  <c r="W29" i="6"/>
  <c r="W40" i="6"/>
  <c r="V173" i="6"/>
  <c r="W172" i="6"/>
  <c r="V29" i="6"/>
  <c r="V40" i="6"/>
  <c r="V203" i="6"/>
  <c r="V16" i="6"/>
  <c r="V158" i="6"/>
  <c r="V119" i="6"/>
  <c r="V15" i="6"/>
  <c r="V39" i="6"/>
  <c r="W191" i="6"/>
  <c r="W101" i="6"/>
  <c r="W204" i="6"/>
  <c r="W16" i="6"/>
  <c r="W39" i="6"/>
  <c r="W173" i="6"/>
  <c r="W203" i="6"/>
  <c r="W15" i="6"/>
  <c r="Y29" i="6"/>
  <c r="Z203" i="6"/>
  <c r="Z30" i="6"/>
  <c r="Z101" i="6"/>
  <c r="Z40" i="6"/>
  <c r="Z33" i="6"/>
  <c r="Z173" i="6"/>
  <c r="Z204" i="6"/>
  <c r="Z15" i="6"/>
  <c r="Z158" i="6"/>
  <c r="Y158" i="6"/>
  <c r="Z119" i="6"/>
  <c r="Z172" i="6"/>
  <c r="Y173" i="6"/>
  <c r="Y40" i="6"/>
  <c r="Y172" i="6"/>
  <c r="Y39" i="6"/>
  <c r="Z16" i="6"/>
  <c r="Z39" i="6"/>
  <c r="Y15" i="6"/>
  <c r="Y16" i="6"/>
  <c r="Y119" i="6"/>
  <c r="Y101" i="6"/>
  <c r="Y204" i="6"/>
  <c r="Y203" i="6"/>
  <c r="Y33" i="6"/>
  <c r="I52" i="6"/>
  <c r="I50" i="6"/>
  <c r="I48" i="6"/>
  <c r="I47" i="6"/>
  <c r="U194" i="6"/>
  <c r="AF193" i="6" l="1"/>
  <c r="W13" i="6"/>
  <c r="V13" i="6"/>
  <c r="W190" i="6"/>
  <c r="V190" i="6"/>
  <c r="Z193" i="6"/>
  <c r="Z191" i="6" s="1"/>
  <c r="Z190" i="6" s="1"/>
  <c r="W100" i="6"/>
  <c r="W84" i="6" s="1"/>
  <c r="W14" i="6"/>
  <c r="Y193" i="6"/>
  <c r="Y192" i="6" s="1"/>
  <c r="Y13" i="6" s="1"/>
  <c r="V100" i="6"/>
  <c r="V84" i="6" s="1"/>
  <c r="V14" i="6"/>
  <c r="Z100" i="6"/>
  <c r="Z84" i="6" s="1"/>
  <c r="Y100" i="6"/>
  <c r="Y84" i="6" s="1"/>
  <c r="Y14" i="6"/>
  <c r="Z14" i="6"/>
  <c r="X207" i="6"/>
  <c r="X205" i="6"/>
  <c r="X200" i="6"/>
  <c r="X183" i="6"/>
  <c r="X178" i="6"/>
  <c r="X174" i="6"/>
  <c r="X167" i="6"/>
  <c r="X159" i="6"/>
  <c r="X155" i="6"/>
  <c r="X133" i="6"/>
  <c r="X120" i="6"/>
  <c r="X111" i="6"/>
  <c r="X105" i="6"/>
  <c r="X102" i="6"/>
  <c r="X96" i="6"/>
  <c r="X95" i="6"/>
  <c r="X79" i="6"/>
  <c r="X77" i="6"/>
  <c r="X74" i="6"/>
  <c r="X69" i="6"/>
  <c r="X41" i="6"/>
  <c r="X35" i="6"/>
  <c r="X33" i="6" s="1"/>
  <c r="X31" i="6"/>
  <c r="X30" i="6" s="1"/>
  <c r="X24" i="6"/>
  <c r="X22" i="6"/>
  <c r="X19" i="6"/>
  <c r="X18" i="6"/>
  <c r="X17" i="6" s="1"/>
  <c r="U211" i="6"/>
  <c r="U207" i="6"/>
  <c r="U205" i="6"/>
  <c r="U200" i="6"/>
  <c r="U193" i="6"/>
  <c r="U192" i="6" s="1"/>
  <c r="U183" i="6"/>
  <c r="U178" i="6"/>
  <c r="U174" i="6"/>
  <c r="U167" i="6"/>
  <c r="U159" i="6"/>
  <c r="U155" i="6"/>
  <c r="U135" i="6"/>
  <c r="U133" i="6"/>
  <c r="U120" i="6"/>
  <c r="U111" i="6"/>
  <c r="U105" i="6"/>
  <c r="U102" i="6"/>
  <c r="U96" i="6"/>
  <c r="U95" i="6"/>
  <c r="U85" i="6"/>
  <c r="U79" i="6"/>
  <c r="U77" i="6"/>
  <c r="U74" i="6"/>
  <c r="U69" i="6"/>
  <c r="U63" i="6"/>
  <c r="U41" i="6"/>
  <c r="U35" i="6"/>
  <c r="U34" i="6" s="1"/>
  <c r="U31" i="6"/>
  <c r="U30" i="6" s="1"/>
  <c r="U24" i="6"/>
  <c r="U22" i="6"/>
  <c r="U19" i="6"/>
  <c r="U18" i="6"/>
  <c r="U17" i="6" s="1"/>
  <c r="S24" i="6"/>
  <c r="S22" i="6"/>
  <c r="S19" i="6"/>
  <c r="S18" i="6"/>
  <c r="S17" i="6" s="1"/>
  <c r="S35" i="6"/>
  <c r="S33" i="6" s="1"/>
  <c r="S31" i="6"/>
  <c r="S30" i="6" s="1"/>
  <c r="S41" i="6"/>
  <c r="S46" i="6"/>
  <c r="S79" i="6"/>
  <c r="S77" i="6"/>
  <c r="S74" i="6"/>
  <c r="S69" i="6"/>
  <c r="S63" i="6"/>
  <c r="S96" i="6"/>
  <c r="S95" i="6"/>
  <c r="T211" i="6"/>
  <c r="T207" i="6"/>
  <c r="T205" i="6"/>
  <c r="T200" i="6"/>
  <c r="T193" i="6"/>
  <c r="T192" i="6" s="1"/>
  <c r="T183" i="6"/>
  <c r="T178" i="6"/>
  <c r="T174" i="6"/>
  <c r="T167" i="6"/>
  <c r="T159" i="6"/>
  <c r="T155" i="6"/>
  <c r="T135" i="6"/>
  <c r="T133" i="6"/>
  <c r="T120" i="6"/>
  <c r="T111" i="6"/>
  <c r="T105" i="6"/>
  <c r="T102" i="6"/>
  <c r="T96" i="6"/>
  <c r="T95" i="6"/>
  <c r="T85" i="6"/>
  <c r="T79" i="6"/>
  <c r="T77" i="6"/>
  <c r="T74" i="6"/>
  <c r="T69" i="6"/>
  <c r="T63" i="6"/>
  <c r="T46" i="6"/>
  <c r="T41" i="6"/>
  <c r="T35" i="6"/>
  <c r="T34" i="6" s="1"/>
  <c r="T31" i="6"/>
  <c r="T29" i="6" s="1"/>
  <c r="T24" i="6"/>
  <c r="T22" i="6"/>
  <c r="T19" i="6"/>
  <c r="T18" i="6"/>
  <c r="T17" i="6" s="1"/>
  <c r="AF192" i="6" l="1"/>
  <c r="AF191" i="6"/>
  <c r="AF190" i="6" s="1"/>
  <c r="Z192" i="6"/>
  <c r="Z13" i="6" s="1"/>
  <c r="Y191" i="6"/>
  <c r="Y190" i="6" s="1"/>
  <c r="U172" i="6"/>
  <c r="X34" i="6"/>
  <c r="T30" i="6"/>
  <c r="U33" i="6"/>
  <c r="X119" i="6"/>
  <c r="X158" i="6"/>
  <c r="U204" i="6"/>
  <c r="X40" i="6"/>
  <c r="T172" i="6"/>
  <c r="U173" i="6"/>
  <c r="X39" i="6"/>
  <c r="S34" i="6"/>
  <c r="U40" i="6"/>
  <c r="X16" i="6"/>
  <c r="U158" i="6"/>
  <c r="U15" i="6"/>
  <c r="U16" i="6"/>
  <c r="X204" i="6"/>
  <c r="S84" i="6"/>
  <c r="U29" i="6"/>
  <c r="U203" i="6"/>
  <c r="X29" i="6"/>
  <c r="X101" i="6"/>
  <c r="X173" i="6"/>
  <c r="U39" i="6"/>
  <c r="X172" i="6"/>
  <c r="U101" i="6"/>
  <c r="U119" i="6"/>
  <c r="X203" i="6"/>
  <c r="X15" i="6"/>
  <c r="U191" i="6"/>
  <c r="T158" i="6"/>
  <c r="T16" i="6"/>
  <c r="T204" i="6"/>
  <c r="S40" i="6"/>
  <c r="T101" i="6"/>
  <c r="T191" i="6"/>
  <c r="S39" i="6"/>
  <c r="T33" i="6"/>
  <c r="S29" i="6"/>
  <c r="T119" i="6"/>
  <c r="T173" i="6"/>
  <c r="T203" i="6"/>
  <c r="S15" i="6"/>
  <c r="S16" i="6"/>
  <c r="T39" i="6"/>
  <c r="T40" i="6"/>
  <c r="T15" i="6"/>
  <c r="X193" i="6" l="1"/>
  <c r="T190" i="6"/>
  <c r="X100" i="6"/>
  <c r="X84" i="6" s="1"/>
  <c r="U190" i="6"/>
  <c r="U14" i="6"/>
  <c r="T100" i="6"/>
  <c r="T84" i="6" s="1"/>
  <c r="X14" i="6"/>
  <c r="U100" i="6"/>
  <c r="U84" i="6" s="1"/>
  <c r="U13" i="6"/>
  <c r="S13" i="6"/>
  <c r="T13" i="6"/>
  <c r="S14" i="6"/>
  <c r="T14" i="6"/>
  <c r="X192" i="6" l="1"/>
  <c r="X13" i="6" s="1"/>
  <c r="X191" i="6"/>
  <c r="X190" i="6" s="1"/>
  <c r="P41" i="6"/>
  <c r="P46" i="6"/>
  <c r="R135" i="6" l="1"/>
  <c r="R105" i="6"/>
  <c r="R96" i="6"/>
  <c r="R211" i="6"/>
  <c r="R207" i="6"/>
  <c r="R205" i="6"/>
  <c r="R200" i="6"/>
  <c r="R183" i="6"/>
  <c r="R178" i="6"/>
  <c r="R174" i="6"/>
  <c r="R167" i="6"/>
  <c r="R159" i="6"/>
  <c r="R155" i="6"/>
  <c r="R133" i="6"/>
  <c r="R120" i="6"/>
  <c r="R111" i="6"/>
  <c r="R102" i="6"/>
  <c r="R95" i="6"/>
  <c r="R79" i="6"/>
  <c r="R77" i="6"/>
  <c r="R74" i="6"/>
  <c r="R69" i="6"/>
  <c r="R63" i="6"/>
  <c r="R41" i="6"/>
  <c r="R35" i="6"/>
  <c r="R33" i="6" s="1"/>
  <c r="R31" i="6"/>
  <c r="R30" i="6" s="1"/>
  <c r="R24" i="6"/>
  <c r="R22" i="6"/>
  <c r="R19" i="6"/>
  <c r="R18" i="6"/>
  <c r="R17" i="6" s="1"/>
  <c r="K175" i="6"/>
  <c r="L175" i="6" s="1"/>
  <c r="K179" i="6"/>
  <c r="L179" i="6" s="1"/>
  <c r="N134" i="6"/>
  <c r="AF134" i="6" s="1"/>
  <c r="AF133" i="6" s="1"/>
  <c r="R39" i="6" l="1"/>
  <c r="R29" i="6"/>
  <c r="R158" i="6"/>
  <c r="R172" i="6"/>
  <c r="R15" i="6"/>
  <c r="R173" i="6"/>
  <c r="R204" i="6"/>
  <c r="R16" i="6"/>
  <c r="R34" i="6"/>
  <c r="R119" i="6"/>
  <c r="R101" i="6"/>
  <c r="R40" i="6"/>
  <c r="R203" i="6"/>
  <c r="AH46" i="6"/>
  <c r="R193" i="6" l="1"/>
  <c r="R192" i="6" s="1"/>
  <c r="R13" i="6" s="1"/>
  <c r="R100" i="6"/>
  <c r="R84" i="6" s="1"/>
  <c r="R14" i="6"/>
  <c r="Q150" i="6"/>
  <c r="AF150" i="6" s="1"/>
  <c r="AF148" i="6" s="1"/>
  <c r="C11" i="2"/>
  <c r="C59" i="2" s="1"/>
  <c r="G133" i="2"/>
  <c r="G131" i="2" s="1"/>
  <c r="F133" i="2"/>
  <c r="F131" i="2" s="1"/>
  <c r="Q148" i="6" l="1"/>
  <c r="R191" i="6"/>
  <c r="R190" i="6" s="1"/>
  <c r="E113" i="2"/>
  <c r="P72" i="6"/>
  <c r="P69" i="6" l="1"/>
  <c r="AF72" i="6"/>
  <c r="AF69" i="6" s="1"/>
  <c r="P79" i="6"/>
  <c r="N79" i="6"/>
  <c r="N46" i="6"/>
  <c r="AF39" i="6" l="1"/>
  <c r="AF14" i="6" s="1"/>
  <c r="AF40" i="6"/>
  <c r="P120" i="6"/>
  <c r="Q69" i="6"/>
  <c r="E133" i="2"/>
  <c r="N183" i="6"/>
  <c r="P183" i="6"/>
  <c r="E85" i="2"/>
  <c r="Q211" i="6"/>
  <c r="Q207" i="6"/>
  <c r="Q205" i="6"/>
  <c r="Q200" i="6"/>
  <c r="Q193" i="6"/>
  <c r="Q192" i="6" s="1"/>
  <c r="Q183" i="6"/>
  <c r="Q178" i="6"/>
  <c r="Q174" i="6"/>
  <c r="Q167" i="6"/>
  <c r="Q159" i="6"/>
  <c r="Q155" i="6"/>
  <c r="Q135" i="6"/>
  <c r="Q133" i="6"/>
  <c r="Q120" i="6"/>
  <c r="Q111" i="6"/>
  <c r="Q105" i="6"/>
  <c r="Q102" i="6"/>
  <c r="Q96" i="6"/>
  <c r="Q95" i="6"/>
  <c r="Q86" i="6"/>
  <c r="Q79" i="6"/>
  <c r="Q77" i="6"/>
  <c r="Q74" i="6"/>
  <c r="Q63" i="6"/>
  <c r="Q46" i="6"/>
  <c r="Q41" i="6"/>
  <c r="Q35" i="6"/>
  <c r="Q34" i="6" s="1"/>
  <c r="Q31" i="6"/>
  <c r="Q30" i="6" s="1"/>
  <c r="Q24" i="6"/>
  <c r="Q22" i="6"/>
  <c r="Q19" i="6"/>
  <c r="Q18" i="6"/>
  <c r="Q17" i="6" s="1"/>
  <c r="P211" i="6"/>
  <c r="P207" i="6"/>
  <c r="P205" i="6"/>
  <c r="P200" i="6"/>
  <c r="P193" i="6"/>
  <c r="P192" i="6" s="1"/>
  <c r="P178" i="6"/>
  <c r="P174" i="6"/>
  <c r="P167" i="6"/>
  <c r="P159" i="6"/>
  <c r="P155" i="6"/>
  <c r="P135" i="6"/>
  <c r="P133" i="6"/>
  <c r="P111" i="6"/>
  <c r="P105" i="6"/>
  <c r="P102" i="6"/>
  <c r="P96" i="6"/>
  <c r="P95" i="6"/>
  <c r="P86" i="6"/>
  <c r="P85" i="6"/>
  <c r="P77" i="6"/>
  <c r="P74" i="6"/>
  <c r="P63" i="6"/>
  <c r="P35" i="6"/>
  <c r="P33" i="6" s="1"/>
  <c r="P31" i="6"/>
  <c r="P30" i="6" s="1"/>
  <c r="P24" i="6"/>
  <c r="P22" i="6"/>
  <c r="P19" i="6"/>
  <c r="P18" i="6"/>
  <c r="P17" i="6" s="1"/>
  <c r="AG211" i="6"/>
  <c r="AG207" i="6"/>
  <c r="AG205" i="6"/>
  <c r="AG200" i="6"/>
  <c r="AG193" i="6"/>
  <c r="AG192" i="6" s="1"/>
  <c r="AG183" i="6"/>
  <c r="AG178" i="6"/>
  <c r="AG174" i="6"/>
  <c r="AG167" i="6"/>
  <c r="AG159" i="6"/>
  <c r="AG155" i="6"/>
  <c r="AG148" i="6"/>
  <c r="AG135" i="6"/>
  <c r="AG133" i="6"/>
  <c r="AG120" i="6"/>
  <c r="AG111" i="6"/>
  <c r="AG105" i="6"/>
  <c r="AG102" i="6"/>
  <c r="AG96" i="6"/>
  <c r="AG86" i="6"/>
  <c r="AG85" i="6"/>
  <c r="E28" i="2" s="1"/>
  <c r="AG79" i="6"/>
  <c r="AG74" i="6"/>
  <c r="AG69" i="6"/>
  <c r="AG63" i="6"/>
  <c r="AG46" i="6"/>
  <c r="AG41" i="6"/>
  <c r="AG35" i="6"/>
  <c r="AG34" i="6" s="1"/>
  <c r="AG31" i="6"/>
  <c r="AG30" i="6" s="1"/>
  <c r="AG24" i="6"/>
  <c r="AG22" i="6"/>
  <c r="AG19" i="6"/>
  <c r="AG17" i="6"/>
  <c r="N41" i="6"/>
  <c r="AI41" i="6"/>
  <c r="AH41" i="6"/>
  <c r="O41" i="6"/>
  <c r="C15" i="2"/>
  <c r="AH122" i="6"/>
  <c r="AI122" i="6" s="1"/>
  <c r="AH106" i="6"/>
  <c r="AH105" i="6" s="1"/>
  <c r="AH159" i="6"/>
  <c r="AH149" i="6"/>
  <c r="AH148" i="6" s="1"/>
  <c r="AH115" i="6"/>
  <c r="AH112" i="6"/>
  <c r="AH113" i="6"/>
  <c r="AH114" i="6"/>
  <c r="AH70" i="6"/>
  <c r="AG40" i="6" l="1"/>
  <c r="E72" i="2" s="1"/>
  <c r="E117" i="2"/>
  <c r="E131" i="2"/>
  <c r="E129" i="2"/>
  <c r="E127" i="2" s="1"/>
  <c r="E125" i="2"/>
  <c r="P204" i="6"/>
  <c r="P119" i="6"/>
  <c r="Q204" i="6"/>
  <c r="E37" i="2"/>
  <c r="AG16" i="6"/>
  <c r="P101" i="6"/>
  <c r="Q101" i="6"/>
  <c r="AG172" i="6"/>
  <c r="AG203" i="6"/>
  <c r="Q158" i="6"/>
  <c r="AG101" i="6"/>
  <c r="Q33" i="6"/>
  <c r="P158" i="6"/>
  <c r="Q173" i="6"/>
  <c r="AG15" i="6"/>
  <c r="AG119" i="6"/>
  <c r="AG191" i="6"/>
  <c r="P203" i="6"/>
  <c r="Q29" i="6"/>
  <c r="Q203" i="6"/>
  <c r="AG204" i="6"/>
  <c r="Q40" i="6"/>
  <c r="Q191" i="6"/>
  <c r="P29" i="6"/>
  <c r="Q16" i="6"/>
  <c r="AG158" i="6"/>
  <c r="P34" i="6"/>
  <c r="Q119" i="6"/>
  <c r="P173" i="6"/>
  <c r="Q172" i="6"/>
  <c r="AG173" i="6"/>
  <c r="P172" i="6"/>
  <c r="Q15" i="6"/>
  <c r="Q39" i="6"/>
  <c r="P40" i="6"/>
  <c r="P39" i="6"/>
  <c r="P16" i="6"/>
  <c r="P15" i="6"/>
  <c r="P191" i="6"/>
  <c r="AG29" i="6"/>
  <c r="AG33" i="6"/>
  <c r="AG39" i="6"/>
  <c r="E24" i="2" s="1"/>
  <c r="AI150" i="6"/>
  <c r="O133" i="6"/>
  <c r="AH133" i="6"/>
  <c r="AI133" i="6"/>
  <c r="O120" i="6"/>
  <c r="AH120" i="6"/>
  <c r="O96" i="6"/>
  <c r="AH96" i="6"/>
  <c r="AI96" i="6"/>
  <c r="O85" i="6"/>
  <c r="AH85" i="6"/>
  <c r="AI85" i="6"/>
  <c r="O86" i="6"/>
  <c r="AH86" i="6"/>
  <c r="AI86" i="6"/>
  <c r="E49" i="2" l="1"/>
  <c r="P14" i="6"/>
  <c r="P13" i="6"/>
  <c r="E21" i="2"/>
  <c r="E17" i="2"/>
  <c r="E109" i="2"/>
  <c r="E13" i="2"/>
  <c r="E11" i="2" s="1"/>
  <c r="E61" i="2"/>
  <c r="E93" i="2"/>
  <c r="E45" i="2"/>
  <c r="AG100" i="6"/>
  <c r="AG190" i="6"/>
  <c r="Q100" i="6"/>
  <c r="Q84" i="6" s="1"/>
  <c r="P190" i="6"/>
  <c r="P100" i="6"/>
  <c r="P84" i="6" s="1"/>
  <c r="Q13" i="6"/>
  <c r="AG14" i="6"/>
  <c r="AG13" i="6"/>
  <c r="Q190" i="6"/>
  <c r="Q14" i="6"/>
  <c r="AH175" i="6"/>
  <c r="AH174" i="6" s="1"/>
  <c r="AH179" i="6"/>
  <c r="AH178" i="6" s="1"/>
  <c r="AI162" i="6"/>
  <c r="AG84" i="6" l="1"/>
  <c r="E40" i="2"/>
  <c r="E88" i="2"/>
  <c r="E97" i="2"/>
  <c r="E73" i="2"/>
  <c r="E71" i="2" s="1"/>
  <c r="E25" i="2"/>
  <c r="E23" i="2" s="1"/>
  <c r="AI179" i="6"/>
  <c r="AI175" i="6"/>
  <c r="G115" i="2"/>
  <c r="N88" i="6"/>
  <c r="AF88" i="6" s="1"/>
  <c r="N126" i="6"/>
  <c r="AF126" i="6" s="1"/>
  <c r="AF120" i="6" s="1"/>
  <c r="AF119" i="6" s="1"/>
  <c r="AF100" i="6" s="1"/>
  <c r="AF86" i="6" l="1"/>
  <c r="AF13" i="6" s="1"/>
  <c r="AF85" i="6"/>
  <c r="AF84" i="6" s="1"/>
  <c r="E76" i="2"/>
  <c r="E8" i="2"/>
  <c r="N85" i="6"/>
  <c r="J24" i="10"/>
  <c r="J23" i="10"/>
  <c r="E89" i="2" l="1"/>
  <c r="E87" i="2" s="1"/>
  <c r="K24" i="10"/>
  <c r="L24" i="10" s="1"/>
  <c r="H20" i="10"/>
  <c r="I19" i="10"/>
  <c r="E29" i="2" l="1"/>
  <c r="E27" i="2" s="1"/>
  <c r="E41" i="2"/>
  <c r="E39" i="2" s="1"/>
  <c r="L23" i="10"/>
  <c r="M23" i="10" s="1"/>
  <c r="AI155" i="6"/>
  <c r="AH155" i="6"/>
  <c r="O155" i="6"/>
  <c r="N155" i="6"/>
  <c r="K149" i="6"/>
  <c r="L149" i="6" s="1"/>
  <c r="O148" i="6"/>
  <c r="N148" i="6"/>
  <c r="AI135" i="6"/>
  <c r="AH135" i="6"/>
  <c r="O135" i="6"/>
  <c r="N135" i="6"/>
  <c r="N105" i="6"/>
  <c r="O105" i="6"/>
  <c r="N102" i="6"/>
  <c r="O102" i="6"/>
  <c r="AH102" i="6"/>
  <c r="AI102" i="6"/>
  <c r="N133" i="6"/>
  <c r="N120" i="6"/>
  <c r="K107" i="6"/>
  <c r="L107" i="6" s="1"/>
  <c r="AI106" i="6"/>
  <c r="AI105" i="6" s="1"/>
  <c r="K106" i="6"/>
  <c r="L106" i="6" s="1"/>
  <c r="F19" i="1"/>
  <c r="F15" i="1"/>
  <c r="J15" i="1" s="1"/>
  <c r="O119" i="6" l="1"/>
  <c r="AH119" i="6"/>
  <c r="N119" i="6"/>
  <c r="AI149" i="6"/>
  <c r="AI148" i="6" s="1"/>
  <c r="C23" i="2"/>
  <c r="N96" i="6"/>
  <c r="N86" i="6"/>
  <c r="F24" i="1"/>
  <c r="J23" i="1"/>
  <c r="E75" i="2" l="1"/>
  <c r="E77" i="2"/>
  <c r="E57" i="2" s="1"/>
  <c r="J25" i="7"/>
  <c r="J7" i="1"/>
  <c r="J8" i="1" l="1"/>
  <c r="J9" i="1"/>
  <c r="M25" i="7"/>
  <c r="L25" i="7"/>
  <c r="K25" i="7"/>
  <c r="F125" i="2" l="1"/>
  <c r="F123" i="2" s="1"/>
  <c r="G125" i="2"/>
  <c r="F75" i="2"/>
  <c r="G75" i="2"/>
  <c r="F85" i="2"/>
  <c r="F83" i="2" s="1"/>
  <c r="G85" i="2"/>
  <c r="F29" i="2"/>
  <c r="F27" i="2" s="1"/>
  <c r="G29" i="2"/>
  <c r="F10" i="2"/>
  <c r="F58" i="2"/>
  <c r="F63" i="2"/>
  <c r="F67" i="2"/>
  <c r="F56" i="2"/>
  <c r="F103" i="2"/>
  <c r="F104" i="2"/>
  <c r="F105" i="2"/>
  <c r="C51" i="2"/>
  <c r="C99" i="2" s="1"/>
  <c r="C47" i="2"/>
  <c r="C95" i="2" s="1"/>
  <c r="C43" i="2"/>
  <c r="C91" i="2" s="1"/>
  <c r="C39" i="2"/>
  <c r="C87" i="2" s="1"/>
  <c r="C35" i="2"/>
  <c r="C83" i="2" s="1"/>
  <c r="C131" i="2" s="1"/>
  <c r="C75" i="2"/>
  <c r="C71" i="2"/>
  <c r="C19" i="2"/>
  <c r="C67" i="2" s="1"/>
  <c r="C111" i="2" s="1"/>
  <c r="C63" i="2"/>
  <c r="I191" i="6"/>
  <c r="J23" i="7"/>
  <c r="C115" i="2" l="1"/>
  <c r="C107" i="2"/>
  <c r="C123" i="2"/>
  <c r="J20" i="7" l="1"/>
  <c r="N178" i="6"/>
  <c r="O174" i="6"/>
  <c r="AI174" i="6"/>
  <c r="N174" i="6"/>
  <c r="O207" i="6"/>
  <c r="AH207" i="6"/>
  <c r="AI207" i="6"/>
  <c r="N207" i="6"/>
  <c r="O211" i="6"/>
  <c r="AH211" i="6"/>
  <c r="AI211" i="6"/>
  <c r="N211" i="6"/>
  <c r="AI205" i="6"/>
  <c r="AH205" i="6"/>
  <c r="O205" i="6"/>
  <c r="N205" i="6"/>
  <c r="O200" i="6"/>
  <c r="AH200" i="6"/>
  <c r="AI200" i="6"/>
  <c r="N200" i="6"/>
  <c r="O193" i="6"/>
  <c r="N193" i="6"/>
  <c r="N192" i="6" s="1"/>
  <c r="K195" i="6"/>
  <c r="L195" i="6" s="1"/>
  <c r="AH198" i="6"/>
  <c r="AI198" i="6" s="1"/>
  <c r="K198" i="6"/>
  <c r="AH197" i="6"/>
  <c r="AI197" i="6" s="1"/>
  <c r="AH196" i="6"/>
  <c r="AI196" i="6" s="1"/>
  <c r="O183" i="6"/>
  <c r="AH183" i="6"/>
  <c r="AI183" i="6"/>
  <c r="O178" i="6"/>
  <c r="AI178" i="6"/>
  <c r="O167" i="6"/>
  <c r="N167" i="6"/>
  <c r="O159" i="6"/>
  <c r="N159" i="6"/>
  <c r="AH170" i="6"/>
  <c r="AI170" i="6" s="1"/>
  <c r="AI167" i="6" s="1"/>
  <c r="AI159" i="6"/>
  <c r="L162" i="6"/>
  <c r="N111" i="6"/>
  <c r="N101" i="6" s="1"/>
  <c r="O111" i="6"/>
  <c r="O101" i="6" s="1"/>
  <c r="AI115" i="6"/>
  <c r="K115" i="6"/>
  <c r="L115" i="6" s="1"/>
  <c r="AI114" i="6"/>
  <c r="K114" i="6"/>
  <c r="L114" i="6" s="1"/>
  <c r="AI113" i="6"/>
  <c r="K113" i="6"/>
  <c r="L113" i="6" s="1"/>
  <c r="AI112" i="6"/>
  <c r="K112" i="6"/>
  <c r="L112" i="6" s="1"/>
  <c r="AI158" i="6" l="1"/>
  <c r="AI172" i="6"/>
  <c r="G45" i="2" s="1"/>
  <c r="AH173" i="6"/>
  <c r="AH172" i="6"/>
  <c r="F45" i="2" s="1"/>
  <c r="F43" i="2" s="1"/>
  <c r="O191" i="6"/>
  <c r="O192" i="6"/>
  <c r="AI173" i="6"/>
  <c r="O173" i="6"/>
  <c r="O172" i="6"/>
  <c r="O158" i="6"/>
  <c r="O100" i="6" s="1"/>
  <c r="N172" i="6"/>
  <c r="N158" i="6"/>
  <c r="N100" i="6" s="1"/>
  <c r="AI204" i="6"/>
  <c r="N173" i="6"/>
  <c r="O204" i="6"/>
  <c r="N204" i="6"/>
  <c r="AH204" i="6"/>
  <c r="O203" i="6"/>
  <c r="N203" i="6"/>
  <c r="AI203" i="6"/>
  <c r="AH203" i="6"/>
  <c r="L198" i="6"/>
  <c r="L191" i="6" s="1"/>
  <c r="K191" i="6"/>
  <c r="G81" i="2"/>
  <c r="F32" i="2"/>
  <c r="F81" i="2"/>
  <c r="F79" i="2" s="1"/>
  <c r="F33" i="2"/>
  <c r="E95" i="2"/>
  <c r="N191" i="6"/>
  <c r="AI193" i="6"/>
  <c r="AH193" i="6"/>
  <c r="AH167" i="6"/>
  <c r="AH158" i="6" s="1"/>
  <c r="AI111" i="6"/>
  <c r="AI101" i="6" s="1"/>
  <c r="AH111" i="6"/>
  <c r="AH101" i="6" s="1"/>
  <c r="N95" i="6"/>
  <c r="AH95" i="6"/>
  <c r="AH91" i="6" s="1"/>
  <c r="AI95" i="6"/>
  <c r="AI91" i="6" s="1"/>
  <c r="O84" i="6" l="1"/>
  <c r="O190" i="6"/>
  <c r="AH191" i="6"/>
  <c r="AH190" i="6" s="1"/>
  <c r="AH192" i="6"/>
  <c r="AI191" i="6"/>
  <c r="AI190" i="6" s="1"/>
  <c r="AI192" i="6"/>
  <c r="AI120" i="6"/>
  <c r="AI119" i="6" s="1"/>
  <c r="F93" i="2"/>
  <c r="F91" i="2" s="1"/>
  <c r="N190" i="6"/>
  <c r="N84" i="6"/>
  <c r="AH100" i="6"/>
  <c r="AH84" i="6" s="1"/>
  <c r="G93" i="2"/>
  <c r="G91" i="2" s="1"/>
  <c r="F97" i="2"/>
  <c r="F95" i="2" s="1"/>
  <c r="G37" i="2"/>
  <c r="G97" i="2"/>
  <c r="G95" i="2" s="1"/>
  <c r="F37" i="2"/>
  <c r="F35" i="2" s="1"/>
  <c r="F31" i="2"/>
  <c r="E91" i="2"/>
  <c r="E47" i="2"/>
  <c r="K20" i="7"/>
  <c r="AI100" i="6" l="1"/>
  <c r="G41" i="2" s="1"/>
  <c r="F89" i="2"/>
  <c r="F87" i="2" s="1"/>
  <c r="F41" i="2"/>
  <c r="F39" i="2" s="1"/>
  <c r="G49" i="2"/>
  <c r="G47" i="2" s="1"/>
  <c r="F49" i="2"/>
  <c r="F47" i="2" s="1"/>
  <c r="AJ190" i="6"/>
  <c r="L20" i="7"/>
  <c r="M20" i="7"/>
  <c r="O69" i="6"/>
  <c r="N69" i="6"/>
  <c r="AI70" i="6"/>
  <c r="AI69" i="6" s="1"/>
  <c r="K82" i="6"/>
  <c r="L82" i="6" s="1"/>
  <c r="K81" i="6"/>
  <c r="L81" i="6" s="1"/>
  <c r="L80" i="6"/>
  <c r="AI79" i="6"/>
  <c r="AH79" i="6"/>
  <c r="O79" i="6"/>
  <c r="O63" i="6"/>
  <c r="AH63" i="6"/>
  <c r="AI63" i="6"/>
  <c r="N63" i="6"/>
  <c r="O46" i="6"/>
  <c r="AI46" i="6"/>
  <c r="O74" i="6"/>
  <c r="AH74" i="6"/>
  <c r="AI74" i="6"/>
  <c r="N74" i="6"/>
  <c r="AI77" i="6"/>
  <c r="AH77" i="6"/>
  <c r="N77" i="6"/>
  <c r="O35" i="6"/>
  <c r="O34" i="6" s="1"/>
  <c r="AH35" i="6"/>
  <c r="AH34" i="6" s="1"/>
  <c r="AI35" i="6"/>
  <c r="AI34" i="6" s="1"/>
  <c r="N35" i="6"/>
  <c r="O31" i="6"/>
  <c r="AH31" i="6"/>
  <c r="AI31" i="6"/>
  <c r="N31" i="6"/>
  <c r="I15" i="6"/>
  <c r="O24" i="6"/>
  <c r="AH24" i="6"/>
  <c r="AI24" i="6"/>
  <c r="N24" i="6"/>
  <c r="O22" i="6"/>
  <c r="AH22" i="6"/>
  <c r="AI22" i="6"/>
  <c r="N22" i="6"/>
  <c r="O19" i="6"/>
  <c r="AH19" i="6"/>
  <c r="AI19" i="6"/>
  <c r="N19" i="6"/>
  <c r="O17" i="6"/>
  <c r="AH17" i="6"/>
  <c r="AI17" i="6"/>
  <c r="N18" i="6"/>
  <c r="N17" i="6" s="1"/>
  <c r="O40" i="6" l="1"/>
  <c r="N40" i="6"/>
  <c r="N15" i="6"/>
  <c r="AI16" i="6"/>
  <c r="AI15" i="6"/>
  <c r="AH30" i="6"/>
  <c r="AH29" i="6"/>
  <c r="G17" i="2" s="1"/>
  <c r="AI29" i="6"/>
  <c r="AI30" i="6"/>
  <c r="AH15" i="6"/>
  <c r="AH16" i="6"/>
  <c r="O15" i="6"/>
  <c r="O16" i="6"/>
  <c r="O30" i="6"/>
  <c r="O29" i="6"/>
  <c r="F17" i="2" s="1"/>
  <c r="F15" i="2" s="1"/>
  <c r="AI84" i="6"/>
  <c r="AJ84" i="6" s="1"/>
  <c r="G89" i="2"/>
  <c r="AH33" i="6"/>
  <c r="G21" i="2" s="1"/>
  <c r="F21" i="2" s="1"/>
  <c r="N33" i="6"/>
  <c r="N34" i="6"/>
  <c r="AI33" i="6"/>
  <c r="O33" i="6"/>
  <c r="N16" i="6"/>
  <c r="N29" i="6"/>
  <c r="N30" i="6"/>
  <c r="AI40" i="6"/>
  <c r="F24" i="2"/>
  <c r="G24" i="2" s="1"/>
  <c r="N39" i="6"/>
  <c r="AH69" i="6"/>
  <c r="AH39" i="6" s="1"/>
  <c r="F73" i="2" s="1"/>
  <c r="F71" i="2" s="1"/>
  <c r="O39" i="6"/>
  <c r="O14" i="6" l="1"/>
  <c r="F19" i="2"/>
  <c r="O13" i="6"/>
  <c r="AH14" i="6"/>
  <c r="AH40" i="6"/>
  <c r="AH13" i="6" s="1"/>
  <c r="AI13" i="6"/>
  <c r="N13" i="6"/>
  <c r="N14" i="6"/>
  <c r="AI39" i="6"/>
  <c r="AI14" i="6" s="1"/>
  <c r="G25" i="2"/>
  <c r="F13" i="2"/>
  <c r="G61" i="2"/>
  <c r="F25" i="2"/>
  <c r="F23" i="2" s="1"/>
  <c r="F8" i="2"/>
  <c r="F61" i="2"/>
  <c r="G13" i="2"/>
  <c r="G27" i="9"/>
  <c r="G26" i="9"/>
  <c r="F27" i="9"/>
  <c r="F26" i="9"/>
  <c r="AJ14" i="6" l="1"/>
  <c r="G23" i="2"/>
  <c r="G73" i="2"/>
  <c r="F11" i="2"/>
  <c r="F7" i="2" s="1"/>
  <c r="F9" i="2"/>
  <c r="F59" i="2"/>
  <c r="F55" i="2" s="1"/>
  <c r="F57" i="2"/>
  <c r="H26" i="9"/>
  <c r="E24" i="9"/>
  <c r="E26" i="9" s="1"/>
  <c r="E27" i="9" s="1"/>
  <c r="E18" i="9"/>
  <c r="G24" i="9"/>
  <c r="H24" i="9" s="1"/>
  <c r="F24" i="9"/>
  <c r="G21" i="9" l="1"/>
  <c r="G20" i="9"/>
  <c r="G19" i="9"/>
  <c r="G17" i="9"/>
  <c r="G16" i="9"/>
  <c r="G15" i="9"/>
  <c r="G13" i="9"/>
  <c r="G14" i="9"/>
  <c r="G12" i="9"/>
  <c r="G11" i="9"/>
  <c r="G7" i="9"/>
  <c r="G8" i="9"/>
  <c r="G9" i="9"/>
  <c r="G10" i="9"/>
  <c r="G6" i="9"/>
  <c r="F21" i="9"/>
  <c r="F20" i="9"/>
  <c r="F19" i="9"/>
  <c r="F18" i="9"/>
  <c r="E6" i="9"/>
  <c r="F17" i="9"/>
  <c r="F16" i="9"/>
  <c r="F15" i="9"/>
  <c r="F13" i="9"/>
  <c r="F14" i="9"/>
  <c r="F12" i="9"/>
  <c r="F7" i="9"/>
  <c r="F8" i="9"/>
  <c r="F9" i="9"/>
  <c r="F10" i="9"/>
  <c r="F11" i="9"/>
  <c r="F6" i="9"/>
  <c r="H6" i="9" l="1"/>
  <c r="G18" i="9" l="1"/>
  <c r="H18" i="9" s="1"/>
  <c r="G123" i="2"/>
  <c r="E123" i="2"/>
  <c r="G8" i="2"/>
  <c r="G103" i="2"/>
  <c r="G104" i="2"/>
  <c r="G105" i="2"/>
  <c r="E104" i="2"/>
  <c r="E105" i="2"/>
  <c r="E107" i="2"/>
  <c r="E115" i="2"/>
  <c r="E103" i="2" l="1"/>
  <c r="G10" i="2"/>
  <c r="E10" i="2"/>
  <c r="G56" i="2" l="1"/>
  <c r="E56" i="2"/>
  <c r="G58" i="2" l="1"/>
  <c r="E58" i="2"/>
  <c r="G79" i="2"/>
  <c r="E79" i="2"/>
  <c r="G71" i="2" l="1"/>
  <c r="G43" i="2"/>
  <c r="E83" i="2" l="1"/>
  <c r="E15" i="2"/>
  <c r="E63" i="2"/>
  <c r="E19" i="2" l="1"/>
  <c r="E59" i="2"/>
  <c r="E35" i="2"/>
  <c r="G15" i="2"/>
  <c r="G63" i="2"/>
  <c r="G39" i="2"/>
  <c r="G87" i="2"/>
  <c r="G27" i="2"/>
  <c r="K21" i="7"/>
  <c r="J21" i="7"/>
  <c r="G83" i="2"/>
  <c r="G35" i="2"/>
  <c r="E67" i="2"/>
  <c r="L21" i="7"/>
  <c r="M21" i="7"/>
  <c r="E55" i="2" l="1"/>
  <c r="F11" i="7"/>
  <c r="F10" i="7"/>
  <c r="F12" i="7"/>
  <c r="G67" i="2"/>
  <c r="G59" i="2"/>
  <c r="G11" i="2"/>
  <c r="G9" i="2"/>
  <c r="E43" i="2" l="1"/>
  <c r="E7" i="2" s="1"/>
  <c r="E9" i="2"/>
  <c r="G57" i="2"/>
  <c r="G55" i="2"/>
  <c r="G19" i="2"/>
  <c r="G7" i="2" s="1"/>
  <c r="F14" i="7"/>
</calcChain>
</file>

<file path=xl/sharedStrings.xml><?xml version="1.0" encoding="utf-8"?>
<sst xmlns="http://schemas.openxmlformats.org/spreadsheetml/2006/main" count="1769" uniqueCount="481">
  <si>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</si>
  <si>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</si>
  <si>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</si>
  <si>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</si>
  <si>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</si>
  <si>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</si>
  <si>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</si>
  <si>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</si>
  <si>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</si>
  <si>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</si>
  <si>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</si>
  <si>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</si>
  <si>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</si>
  <si>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</si>
  <si>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</si>
  <si>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</si>
  <si>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Всего</t>
  </si>
  <si>
    <t>ОБ</t>
  </si>
  <si>
    <t>МБ</t>
  </si>
  <si>
    <t>ПП</t>
  </si>
  <si>
    <t>2026 г.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</si>
  <si>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</si>
  <si>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</si>
  <si>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</si>
  <si>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</si>
  <si>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</si>
  <si>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</si>
  <si>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</si>
  <si>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</si>
  <si>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</si>
  <si>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</si>
  <si>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</si>
  <si>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</si>
  <si>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х</t>
  </si>
  <si>
    <t>ПЛАН</t>
  </si>
  <si>
    <t>-</t>
  </si>
  <si>
    <t>01</t>
  </si>
  <si>
    <t>02</t>
  </si>
  <si>
    <t>ед.</t>
  </si>
  <si>
    <t>Содержание территорий общего пользования</t>
  </si>
  <si>
    <t>кв.м.</t>
  </si>
  <si>
    <t>03</t>
  </si>
  <si>
    <t>04</t>
  </si>
  <si>
    <t>05</t>
  </si>
  <si>
    <t>06</t>
  </si>
  <si>
    <t>07</t>
  </si>
  <si>
    <t>08</t>
  </si>
  <si>
    <t>Приобретение мусорных контейнеров для размещения на территории Светлогорского городского округа</t>
  </si>
  <si>
    <t>Устройство контейнерных площадок</t>
  </si>
  <si>
    <t>МБУ «Спецремтранс» (субсидия на иные цели)</t>
  </si>
  <si>
    <t>Уборка несанкционированных свалок на территории Светлогорского городского округа</t>
  </si>
  <si>
    <t xml:space="preserve">Приобретение и посадка зеленых насаждений </t>
  </si>
  <si>
    <t xml:space="preserve">Оплата электрической энергии наружного уличного освещения </t>
  </si>
  <si>
    <t>Содержание электроустановок наружного освещения на территории Светлогорского городского округа</t>
  </si>
  <si>
    <t xml:space="preserve">Технологическое присоединение к электрическим сетям </t>
  </si>
  <si>
    <t>Техническое обслуживание трансформаторных подстанций</t>
  </si>
  <si>
    <t>09</t>
  </si>
  <si>
    <t>Покраска малых архитектурных форм, расположенных на территории Светлогорского городского округа</t>
  </si>
  <si>
    <t>Установка и обслуживание биотуалетов на территории Светлогорского городского округа</t>
  </si>
  <si>
    <t>Приобретение уличных урн для размещения на территории Светлогорского городского округа</t>
  </si>
  <si>
    <t>Приобретение скамеек для  размещения на территории Светлогорского городского округа</t>
  </si>
  <si>
    <t>Приобретение крышек  для песочниц на муниципальных детских площадках</t>
  </si>
  <si>
    <t>Ландшафтно-архитектурная подсветка</t>
  </si>
  <si>
    <t>Утилизация погибших животных на территории Светлогорского городского округа</t>
  </si>
  <si>
    <t>Оформление площадки на фестивале  "Цветы Победы"</t>
  </si>
  <si>
    <t>Содержание и текущий ремонт фонтана на центральной площади Светлогорского городского округа</t>
  </si>
  <si>
    <t>МУП "Теплосети"</t>
  </si>
  <si>
    <t xml:space="preserve">количество </t>
  </si>
  <si>
    <t>количество перевозок</t>
  </si>
  <si>
    <t>шт.</t>
  </si>
  <si>
    <t>объем ресурса</t>
  </si>
  <si>
    <t>куб.м.</t>
  </si>
  <si>
    <t>площадь</t>
  </si>
  <si>
    <t>количество фонтанов</t>
  </si>
  <si>
    <t>количество мероприятий</t>
  </si>
  <si>
    <t>площадь территори</t>
  </si>
  <si>
    <t>количество деревьев</t>
  </si>
  <si>
    <t>количество обследуемых деревьев</t>
  </si>
  <si>
    <t>количество животных</t>
  </si>
  <si>
    <t>количество</t>
  </si>
  <si>
    <t>протяженность</t>
  </si>
  <si>
    <t>п.м.</t>
  </si>
  <si>
    <t>МБУ "Спецремтранс"_МЗ</t>
  </si>
  <si>
    <t>МУ "ОКС"</t>
  </si>
  <si>
    <t>Санитарная (ручная) уборка улично-дорожной сети на территории Светлогорского городского округа</t>
  </si>
  <si>
    <t>всего</t>
  </si>
  <si>
    <t>в том числе:</t>
  </si>
  <si>
    <t>МБУ "Спецремтранс"_субсидия</t>
  </si>
  <si>
    <t>Проведение технической инвентаризации и постановка на кадастровый учет бесхозяйных сетей энергоснабжения</t>
  </si>
  <si>
    <t>Развитие сети уличного освещения от ППВ-50 (перспект) пешеходной дорожки от Калининградского проспекта к Живописному проезду через парк "Георгенсвальде"  в г. Светлогорске</t>
  </si>
  <si>
    <t xml:space="preserve">Ландшафтно-архитектурная подсветка </t>
  </si>
  <si>
    <t>Проведение актуализации схемы водоснабжения и водоотведения муниципального образования «Светлогорский городской округ» Калининградской области и актуализации электронной модели схемы водоснабжения и водоотведения</t>
  </si>
  <si>
    <t>Приобретение и установка информационных стендов и табличек</t>
  </si>
  <si>
    <t>Текущий ремонт малых архитектурных форм в г.Светлогорске, Калининградской области</t>
  </si>
  <si>
    <t>Устройство площадок для выгула собак</t>
  </si>
  <si>
    <t xml:space="preserve">Капитальный ремонт спортивной площадки, с расположенными на ней тренажерами в районе озера Тихое на территории Светлогорского городского округа </t>
  </si>
  <si>
    <t>Ремонт скамьи в г. Светлогорске парк "Муза"</t>
  </si>
  <si>
    <t>Замена футбольных ворот</t>
  </si>
  <si>
    <t xml:space="preserve">Разработка концепции оформления города при подготовки к праздничным мероприятиям </t>
  </si>
  <si>
    <t>Проведение актуализации схемы теплоснабжения Светлогорского городского округа</t>
  </si>
  <si>
    <t xml:space="preserve">Выполнение работ по   по объекту: ГТС на озере Тихое в г. Светлогорск </t>
  </si>
  <si>
    <t xml:space="preserve">Выполнение работ по   по объекту: ГТС на озере Безымянное в районе пос. Филино </t>
  </si>
  <si>
    <t>количество контейнерных площадок</t>
  </si>
  <si>
    <t>объем мусора</t>
  </si>
  <si>
    <t>количество электроустановок</t>
  </si>
  <si>
    <t>тыс. кВт</t>
  </si>
  <si>
    <t>количество подстанций</t>
  </si>
  <si>
    <t>МКУ "ОЖКХ"</t>
  </si>
  <si>
    <t xml:space="preserve">Сведения
 о финансовом обеспечении выполнения основных мероприятий муниципальной программы </t>
  </si>
  <si>
    <t>2026 год</t>
  </si>
  <si>
    <t>Сведения
о целевых показателях (индикаторах) достижения целей МП, перечень основных 
мероприятий муниципальной программы</t>
  </si>
  <si>
    <t>Устройство лестничного спуска в п. Приморье Светлогорского городского округа</t>
  </si>
  <si>
    <t>Капитальный ремонт детской площадки, расположенной у дома № 10 по ул. Косогорной г. Светлогорска, Светлогорский городской округ, Калининградская область.</t>
  </si>
  <si>
    <t>Капитальный ремонт детской площадки, расположенной у дома № 30 по ул. Пионерской г. Светлогорска, Светлогорский городской округ, Калининградская область</t>
  </si>
  <si>
    <t>МБУ "РОН" (МЗ)</t>
  </si>
  <si>
    <t>база</t>
  </si>
  <si>
    <t>будет</t>
  </si>
  <si>
    <t>1.1.</t>
  </si>
  <si>
    <t>на 2024 г. и плановый период 2025-2026 гг.</t>
  </si>
  <si>
    <t>Капитальный ремонт сети уличного освещения от ПП124-3/1 по ул. Гагарина в г. Светлогорске</t>
  </si>
  <si>
    <t>Капитальный ремонт тротуара и лестницы в районе озера "Тихое" ул. Майский проезд в г. Светлогорске Калининградской области</t>
  </si>
  <si>
    <t>Вырубка, снос зеленых насаждений на территории Светлогорского городского округа</t>
  </si>
  <si>
    <t>Уборка и содержание мест (площадок) накопления твердых коммунальных отходов (ТКО)</t>
  </si>
  <si>
    <t>10</t>
  </si>
  <si>
    <t xml:space="preserve">МКУ «Отдел ЖКХ Светлогорского городского округа»
Участники:
сторонние организации по результату закупок товаров, работ и услуг. </t>
  </si>
  <si>
    <t>Разработка, корректировка регламента</t>
  </si>
  <si>
    <t>Лесоустройство, проектирование мер противопожарного обустройства</t>
  </si>
  <si>
    <t>МУ "Отдел по бюджету и финансам "Светлогорского городского округа"</t>
  </si>
  <si>
    <t>Администрация</t>
  </si>
  <si>
    <t>Администрация муниципального образования «Светлогорский городской округ»</t>
  </si>
  <si>
    <t>Содержание сетей водоотведения  (ливневой/дождевой канализации  на территории Светлогорского городского округа: ремонт и очистка</t>
  </si>
  <si>
    <t>Уборка мусора из урн на территориях общего пользования Светлогорского городского округа</t>
  </si>
  <si>
    <t>Ландшафтная обрезка живых изгородей на территории Светлогорского городского округа</t>
  </si>
  <si>
    <t>Акарицидная обработка зеленых зон на территории Светлогорского городского округа</t>
  </si>
  <si>
    <t>Текущее содержание сетей электроснабжения</t>
  </si>
  <si>
    <t>Оценка безопасности детских игровых площадок</t>
  </si>
  <si>
    <t>Приобретение техники</t>
  </si>
  <si>
    <t>Обрезка зеленых насаждений на территории Светлогорского городского округа ( за исключением ландшафтной обрезки живых изгородей )</t>
  </si>
  <si>
    <t>Энергосбережение и повышение энергетической эффективности</t>
  </si>
  <si>
    <t>Капитальный ремонт муниципального жилищного фонда и общего имущества в многоквартирных домах</t>
  </si>
  <si>
    <t>"Комплексное развитие жилищно-коммунального хозяйства"</t>
  </si>
  <si>
    <t>Механизированная уборка улично-дорожной сети на территории Светлогорского городского округа</t>
  </si>
  <si>
    <t>Разработка концепции оформления города при подготовки к мероприятиям и проведению мероприятий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</si>
  <si>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</si>
  <si>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Прочие работы по водоснабжению/водоотведение фонтана</t>
  </si>
  <si>
    <t>Скашивание травянистой растительности и сгребание скошенной травянистой растительности на территории Светлогорского городского округа</t>
  </si>
  <si>
    <t>площадь территории</t>
  </si>
  <si>
    <t>Содержание автомобильных дорог и сооружений на них на территории Светлогорского городского округа: мойка и очистка дорожных знаков,рихтовка стоек,подтяжка креплений дорожных знаков</t>
  </si>
  <si>
    <t>Услуги  по лесопатологическому обследованию зеленых насаждений, в том числе экспертное сопровождение на территории Светлогорского городского округа</t>
  </si>
  <si>
    <t>МУП "Светлогорские парки"</t>
  </si>
  <si>
    <t>Развитие сети уличного освещения от ПП125-2  по ул. Заречной в г. Светлогорске</t>
  </si>
  <si>
    <t>Развитие сети уличного освещения от ПП39-17  по пер. Спортивному в г. Светлогорске</t>
  </si>
  <si>
    <t>Развитие сети уличного освещения от ПП39-3  по ул. Майской в г. Светлогорске</t>
  </si>
  <si>
    <t>Приобретение оборудования</t>
  </si>
  <si>
    <t>Всего по программе</t>
  </si>
  <si>
    <t>Водоснабжение/водоотведение фонтана на территории Светлогорского городского округа</t>
  </si>
  <si>
    <t>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</si>
  <si>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Подпрограмма 2.Создание комфортной городской среды</t>
  </si>
  <si>
    <t>Благоустройство дворовых территорий</t>
  </si>
  <si>
    <t>2.</t>
  </si>
  <si>
    <t>Благоустройство общественных территорий</t>
  </si>
  <si>
    <t>Организация и содержание общественных городских кладбищ (мест погребения)</t>
  </si>
  <si>
    <t>3.</t>
  </si>
  <si>
    <t>Содержание зеленых насаждений на территориях общего пользования и зеленых зонах, муниципальных земельных участках</t>
  </si>
  <si>
    <t>Содержание городских лесов</t>
  </si>
  <si>
    <t>2.1</t>
  </si>
  <si>
    <t>3.1</t>
  </si>
  <si>
    <t xml:space="preserve">Осуществление мероприятий в соотвествии с документами стратегического планирования </t>
  </si>
  <si>
    <t>Осуществление мероприятий по теплоснабжению</t>
  </si>
  <si>
    <t>Осуществление мероприятий по электроснабжению</t>
  </si>
  <si>
    <t>Осуществление мероприятий по водоснабжению и водоотведению</t>
  </si>
  <si>
    <t>Разработка программы комплексного развития систем коммунальной инфраструктуры</t>
  </si>
  <si>
    <t>Проведение технической инвентаризации и постановка на кадастровый учет объектов теплоснабжения</t>
  </si>
  <si>
    <t>МУП "Теплосети"
(субсидия)</t>
  </si>
  <si>
    <t>Проведение технической инвентаризации и постановка на кадастровый учет объектов водоснабжения</t>
  </si>
  <si>
    <t>Проведение технической инвентаризации и постановка на кадастровый учет объектов водоотведения (хоз-бытовая канализация)</t>
  </si>
  <si>
    <t>Проведение технической инвентаризации и постановка на кадастровый учет объектов водоотведения (ливневая/дождевая канализация)</t>
  </si>
  <si>
    <t>Выполнение работ по разработке и экспертизе проектно-сметной документации на реконструкцию котельной "Филино"</t>
  </si>
  <si>
    <t>Строительство, реконструкция и технологическое присоединение объектов жилищно-коммунального комплекса</t>
  </si>
  <si>
    <t>Осуществление мероприятий по объектам жилищно-коммунального комплекса</t>
  </si>
  <si>
    <t>Реконструкция котельной "Зори"</t>
  </si>
  <si>
    <t>Реконструкция РТС "Светлогосркая"</t>
  </si>
  <si>
    <t>ед</t>
  </si>
  <si>
    <t>Осуществление мероприятий по водоотведению (ливневая/дождевая канализация)</t>
  </si>
  <si>
    <t>Осуществление мероприятий по ГТС</t>
  </si>
  <si>
    <t>Задача 2. Увеличение площади благоустроенных территорий общего пользования</t>
  </si>
  <si>
    <t>Благоустройство общественных  территорий Светлогорского городского округа</t>
  </si>
  <si>
    <t>Восстановление фонтана «Лягушка» в сквере по Калининградскому проспекту в районе домов № 33-35 в городе Светлогорске Калининградской области</t>
  </si>
  <si>
    <t>количество благоустроенных территорий</t>
  </si>
  <si>
    <t>Благоустройство  дворовых территорий Светлогорского городского округа</t>
  </si>
  <si>
    <t>Обустройство мест массового отдыха</t>
  </si>
  <si>
    <t>МБУ "ОКС"</t>
  </si>
  <si>
    <t>Инициативное бюджетирование</t>
  </si>
  <si>
    <t>11</t>
  </si>
  <si>
    <t>Осуществление мероприятий по обеспечению деятельности по содержанию территорий общего пользования</t>
  </si>
  <si>
    <t>Осуществление мероприятий по содержанию улично-дорожной сети</t>
  </si>
  <si>
    <t>Осуществление мероприятий по содержанию и ремонту детских, игровых и спортивных площадок</t>
  </si>
  <si>
    <t>Обслуживание детских площадок на территории Светлогорского городского округа</t>
  </si>
  <si>
    <t>Осуществление мероприятий по содержагию общественных мест для купания и отдыха</t>
  </si>
  <si>
    <t>Транспортные услуги по доставке пляжного оборудования  на места массового отдыха на территории Светлогорского городского округа</t>
  </si>
  <si>
    <t>Водоснабжение душевых стоек на местах массового отдыха на территории Светлогорского городского округа</t>
  </si>
  <si>
    <t>Осуществление мероприятий по содержагию фонтанов и водоемов</t>
  </si>
  <si>
    <t>Установка и приобретение  малых архитектурных форм и элементов благоустройства</t>
  </si>
  <si>
    <t>Ремонт малых архитектурных форм и элементов благоустройства</t>
  </si>
  <si>
    <t>Осуществление мероприятий по содержанию общественного городского кладбища (№1, Песочная)</t>
  </si>
  <si>
    <t>Содержание мест погребения  на территории Светлогорского городского округа</t>
  </si>
  <si>
    <t>Инвентаризация и учет мест погребения</t>
  </si>
  <si>
    <t>Кадастровый учет и государственная регистрация городского кладбища и земельного участка по факту его размещения</t>
  </si>
  <si>
    <t>Осуществление мероприятий по содержанию общественного городского кладбища (№2, Горбатовка)</t>
  </si>
  <si>
    <t>Устройство городского кладбища</t>
  </si>
  <si>
    <t>Кадастровый учет и государственная регистрация городского кладбища и земельного участка для его размещения</t>
  </si>
  <si>
    <t>количество кладбищ</t>
  </si>
  <si>
    <t>Осуществление мероприятий по содержанию зеленых зон и насаждений</t>
  </si>
  <si>
    <t>Содержание и обслуживание зеленых насаждений (высадка, полив, прополка) на клумбах, кашпо на территории Светлогорского городского округа</t>
  </si>
  <si>
    <t>Осуществление мероприятий по содержанию озеленению территории</t>
  </si>
  <si>
    <t>Государсвенная пошлина</t>
  </si>
  <si>
    <t>Создание лесничества</t>
  </si>
  <si>
    <t>Разработка, корректировка (актуализация) лесоустроительной документации</t>
  </si>
  <si>
    <t>Обеспечение деятельности лесничества</t>
  </si>
  <si>
    <t xml:space="preserve">МКУ «Отдел ЖКХ Светлогорского городского округа»
Участники: МБУ "ОКС", 
сторонние организации по результату закупок товаров, работ и услуг. </t>
  </si>
  <si>
    <t xml:space="preserve">МКУ «Отдел ЖКХ Светлогорского городского округа»
Участники: МБУ "РОН СГО",
сторонние организации по результату закупок товаров, работ и услуг. </t>
  </si>
  <si>
    <t xml:space="preserve">МКУ «Отдел ЖКХ Светлогорского городского округа»
Участники: МБУ "Спецремтранс", МУП "Светлогорские парки",
сторонние организации по результату закупок товаров, работ и услуг. </t>
  </si>
  <si>
    <t>цель 2</t>
  </si>
  <si>
    <t>цель 3</t>
  </si>
  <si>
    <t>количество разработанной документации</t>
  </si>
  <si>
    <t>количество созданных (отремонтированных) объектов жилищно-коммунального хозяйства</t>
  </si>
  <si>
    <t xml:space="preserve">Благоустройство сквера  "Влюбленных"  расположенного по ул. Калининградский  проспект д. 69 в г. Светлогорск Калининградской области </t>
  </si>
  <si>
    <t>Подпрограмма 3. Сохранение и развитие зеленого фонда Светлогорского городского округа</t>
  </si>
  <si>
    <t>Задача 3.Содержание зеленого фонда Светлогорского городского округа</t>
  </si>
  <si>
    <t>Создание комфортной городской среды</t>
  </si>
  <si>
    <t>Осуществление мероприятий по благоустройству общественных  территорий Светлогорского городского округа</t>
  </si>
  <si>
    <t>Осуществление мероприятий по благоустройству дворовых  территорий Светлогорского городского округа</t>
  </si>
  <si>
    <t>Осуществление мероприятий по обустройству мест массового отдыха</t>
  </si>
  <si>
    <t>Осуществление мероприятий по содержанию территорий общего пользования</t>
  </si>
  <si>
    <t>Осуществление мероприятий по организации и содержанию общественных городских кладбищ (мест погребения)</t>
  </si>
  <si>
    <t>Сохранение и развитие зеленого фонда Светлогорского городского округа</t>
  </si>
  <si>
    <t>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</si>
  <si>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Осуществление мероприятий по содержанию городских лесов</t>
  </si>
  <si>
    <t>Подпрограмма 1.  Комплексное развитие объектов оказания жилищно-коммунальных услуг</t>
  </si>
  <si>
    <t>Комплексное развитие объектов оказания жилищно-коммунальных услуг</t>
  </si>
  <si>
    <t>Модернизация (расширение/развитие), капитальный и текущий ремонт, содержание объектов жилищно-коммунального комплекса</t>
  </si>
  <si>
    <t>Разработка стратегической и технической документации  в отношении объектов жилищно-коммунального комплекса</t>
  </si>
  <si>
    <t>Осуществление мероприятий по содержанию, ремонту малых архитектурных форм и элементов благоустройства</t>
  </si>
  <si>
    <t>Осуществление мероприятий по содержанию мест массового отдыха</t>
  </si>
  <si>
    <t>Задача 1.Обеспечение бесперебойным предоставлением и улучшения качества коммунальных услуг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</si>
  <si>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«Комплексное развитие жилищно-коммунального хозяйства»  </t>
  </si>
  <si>
    <t xml:space="preserve">Приложение № 2                     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№2
к Программе «Комплексное развитие жилищно-коммунального хозяйства»  </t>
  </si>
  <si>
    <t>Текущий ремонт на аллее "Богатырская" в районе Калининградского проспекта в г. Светлогорске</t>
  </si>
  <si>
    <t>Уборка территории и аналогичная деятельность</t>
  </si>
  <si>
    <t>Содержание территорий городских, поселковых кладбищ</t>
  </si>
  <si>
    <t>Светлогорск</t>
  </si>
  <si>
    <t>Горбатовка</t>
  </si>
  <si>
    <t>Благоустройство дворовыъ территорий</t>
  </si>
  <si>
    <t>Содержание мест массового отдыха  на территории Светлогорского городского округа</t>
  </si>
  <si>
    <t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t>
  </si>
  <si>
    <t>пжкх_1.01.1.01</t>
  </si>
  <si>
    <t>пжкх_1.01.1.02</t>
  </si>
  <si>
    <t>пжкх_1.01.1.03</t>
  </si>
  <si>
    <t>пжкх_1.02.1.01</t>
  </si>
  <si>
    <t>пжкх_1.03.1.01</t>
  </si>
  <si>
    <t>пжкх_1.04.1.01</t>
  </si>
  <si>
    <t>S1040</t>
  </si>
  <si>
    <t>пжкх_1.04.1.02</t>
  </si>
  <si>
    <t>пжкх_1.04.1.03</t>
  </si>
  <si>
    <t>пжкх_1.04.1.04</t>
  </si>
  <si>
    <t>пжкх_1.04.1.05</t>
  </si>
  <si>
    <t>пжкх_1.04.1.06</t>
  </si>
  <si>
    <t>пжкх_1.04.1.07</t>
  </si>
  <si>
    <t>пжкх_1.04.1.08</t>
  </si>
  <si>
    <t>пжкх_1.04.1.09</t>
  </si>
  <si>
    <t>пжкх_1.04.1.10</t>
  </si>
  <si>
    <t>пжкх_1.04.1.11</t>
  </si>
  <si>
    <t>пжкх_1.04.1.12</t>
  </si>
  <si>
    <t>пжкх_1.04.1.13</t>
  </si>
  <si>
    <t>пжкх_1.04.1.14</t>
  </si>
  <si>
    <t>S1220</t>
  </si>
  <si>
    <t>пжкх_2.05.1.03</t>
  </si>
  <si>
    <t>пжкх_2.05.1.02</t>
  </si>
  <si>
    <t>пжкх_2.07.1.02</t>
  </si>
  <si>
    <t>пжкх_2.08.1.02</t>
  </si>
  <si>
    <t>пжкх_2.05.1.01</t>
  </si>
  <si>
    <t>пжкх_2.07.1.01</t>
  </si>
  <si>
    <t>пжкх_2.08.1.01</t>
  </si>
  <si>
    <t>пжкх_2.08.2.01</t>
  </si>
  <si>
    <t>пжкх_2.08.1.03</t>
  </si>
  <si>
    <t>пжкх_2.08.1.04</t>
  </si>
  <si>
    <t>пжкх_2.08.1.05</t>
  </si>
  <si>
    <t>пжкх_2.08.1.06</t>
  </si>
  <si>
    <t>пжкх_2.08.1.07</t>
  </si>
  <si>
    <t>пжкх_2.08.1.08</t>
  </si>
  <si>
    <t>пжкх_2.08.1.09</t>
  </si>
  <si>
    <t>пжкх_2.08.1.10</t>
  </si>
  <si>
    <t>пжкх_2.08.1.11</t>
  </si>
  <si>
    <t>пжкх_2.08.1.12</t>
  </si>
  <si>
    <t>пжкх_2.08.1.13</t>
  </si>
  <si>
    <t>пжкх_2.08.2.02</t>
  </si>
  <si>
    <t>пжкх_2.08.2.03</t>
  </si>
  <si>
    <t>пжкх_2.08.2.04</t>
  </si>
  <si>
    <t>пжкх_2.08.2.05</t>
  </si>
  <si>
    <t>пжкх_2.08.2.06</t>
  </si>
  <si>
    <t>пжкх_2.08.2.07</t>
  </si>
  <si>
    <t>пжкх_2.08.2.08</t>
  </si>
  <si>
    <t>пжкх_2.08.2.10</t>
  </si>
  <si>
    <t>пжкх_2.08.2.12</t>
  </si>
  <si>
    <t>пжкх_2.08.2.13</t>
  </si>
  <si>
    <t>пжкх_2.08.2.14</t>
  </si>
  <si>
    <t>пжкх_2.08.2.15</t>
  </si>
  <si>
    <t>пжкх_2.08.2.16</t>
  </si>
  <si>
    <t>пжкх_2.08.2.17</t>
  </si>
  <si>
    <t>пжкх_2.08.3.01</t>
  </si>
  <si>
    <t>пжкх_2.08.3.02</t>
  </si>
  <si>
    <t>пжкх_2.08.3.03</t>
  </si>
  <si>
    <t>пжкх_2.08.3.04</t>
  </si>
  <si>
    <t>пжкх_2.08.3.05</t>
  </si>
  <si>
    <t>пжкх_2.08.3.06</t>
  </si>
  <si>
    <t>пжкх_2.08.3.07</t>
  </si>
  <si>
    <t>пжкх_2.08.3.08</t>
  </si>
  <si>
    <t>пжкх_2.08.3.09</t>
  </si>
  <si>
    <t>пжкх_2.08.3.10</t>
  </si>
  <si>
    <t>пжкх_2.09.1.01</t>
  </si>
  <si>
    <t>20.3</t>
  </si>
  <si>
    <t>20.3.10</t>
  </si>
  <si>
    <t>пжкх_3.10.1.01</t>
  </si>
  <si>
    <t>пжкх_3.10.1.02</t>
  </si>
  <si>
    <t>пжкх_3.10.1.03</t>
  </si>
  <si>
    <t>пжкх_3.10.1.04</t>
  </si>
  <si>
    <t>пжкх_3.10.1.05</t>
  </si>
  <si>
    <t>пжкх_3.10.1.06</t>
  </si>
  <si>
    <t>пжкх_3.10.1.07</t>
  </si>
  <si>
    <r>
      <t>реализации муниципальной программы</t>
    </r>
    <r>
      <rPr>
        <b/>
        <sz val="11"/>
        <color theme="1" tint="4.9989318521683403E-2"/>
        <rFont val="Times New Roman"/>
        <family val="1"/>
        <charset val="204"/>
      </rPr>
      <t xml:space="preserve"> "Комплексное развитие жилищно-коммунального хозяйства"</t>
    </r>
  </si>
  <si>
    <t>март</t>
  </si>
  <si>
    <t xml:space="preserve">Разработка проекта санитарно-защитной зоны для строительства кладбища </t>
  </si>
  <si>
    <t xml:space="preserve">МБУ "РОН" </t>
  </si>
  <si>
    <t>МУ "УФЦ"</t>
  </si>
  <si>
    <t>Мероприятия по подготовке разрешительных документов на сброс сточных вод</t>
  </si>
  <si>
    <t>МБУ "Спецремтранс"_ис</t>
  </si>
  <si>
    <t>Ремонт водоотводного лотка ливневой канализации вблизи д.7 по ул. Пригородная в г. Светлогорске</t>
  </si>
  <si>
    <t>Благоустройство территории с обустройством лестничного спуска по пер. Сиреневый, д. 8 в г. Светлогорске</t>
  </si>
  <si>
    <t>пжкх_2.08.2.18</t>
  </si>
  <si>
    <t>пжкх_2.08.2.19</t>
  </si>
  <si>
    <t>пжкх_1.04.1.15</t>
  </si>
  <si>
    <t>пжкх_1.04.1.16</t>
  </si>
  <si>
    <t>пжкх_1.04.1.17</t>
  </si>
  <si>
    <t>пжкх_1.04.1.18</t>
  </si>
  <si>
    <t>Услуги по размещению оборудования искусственного освещения на опорах, принадлежащих АО "Россети-Янтарь"</t>
  </si>
  <si>
    <t>Развитие сети уличного освещения от ПП130-2 
сквера на Калининграсдком пр-те в г. Светлогорске</t>
  </si>
  <si>
    <t>МУ "Учетно-финансовый центр Светлогорского городского округа"</t>
  </si>
  <si>
    <t>Разработка стратегической и технической документации в отношении объектов жилищно-коммунального комплекса</t>
  </si>
  <si>
    <t>Общий объем финансового обеспечения выполнения основных мероприятий Программы</t>
  </si>
  <si>
    <t>пжкх_1.04.1.19</t>
  </si>
  <si>
    <t>попр.05.04</t>
  </si>
  <si>
    <t>количество опор</t>
  </si>
  <si>
    <t>га</t>
  </si>
  <si>
    <t>Укрепление конструктивных сооружений (подпорная стенка Калининградский проспект 77А)</t>
  </si>
  <si>
    <t>Капитальный ремонт спортивных тренажеров, расположенных в п. Приморье, по ул. Офицерская, д.2 Светлогорского городского округа, Калининградской области</t>
  </si>
  <si>
    <t xml:space="preserve">Благоустройство спуска к береговой линии в п. Приморье Светлогорского городского округа </t>
  </si>
  <si>
    <t>Приобретение  Автогидроподъемника на шасси ГАЗ-С42R33 и приобретение навесного оборудования для коммунальной уборочной техники</t>
  </si>
  <si>
    <t>Приобретение  автомобиля УАЗ ПРОФИ бортовая платформа с тентом и приобретение расходных материалов для подметально-уборочной техники</t>
  </si>
  <si>
    <t>пжкх_2.08.1.14</t>
  </si>
  <si>
    <t>Капитальный ремонт площадки по сбору твердых коммунальных отходов в п. Приморье по ул. Офицерская, д.2</t>
  </si>
  <si>
    <t>Ремонт КЛ 0,4 кВ от ТП 39-15 до ж.д. №30 ул. Пионерская , г. Светлогорск</t>
  </si>
  <si>
    <t>пжкх_1.04.1.20</t>
  </si>
  <si>
    <t>пжкх_2.08.2.23</t>
  </si>
  <si>
    <t>Поставка скамеек парковых</t>
  </si>
  <si>
    <t>Приобретение и поставка светотехнического оборудования</t>
  </si>
  <si>
    <t>пжкх_2.05.1.04</t>
  </si>
  <si>
    <t>пжкх_2.05.1.05</t>
  </si>
  <si>
    <t>Подготовка стены для нанесения рисунка по адресу: Калининградский проспект, 35 город Светлогорск</t>
  </si>
  <si>
    <t>Замена металлических ступеней спуска п. Донское Светлогорского городского округа</t>
  </si>
  <si>
    <t>Благоустройство площадки разворотного кольца канатной дороги в г. Светлогорске, Калининградской области</t>
  </si>
  <si>
    <t>пжкх_2.08.2.24</t>
  </si>
  <si>
    <t>пжкх_2.08.2.25</t>
  </si>
  <si>
    <t>попр._Совет 27.05</t>
  </si>
  <si>
    <t>Комплекс работ по монтажу гранитных плит с нанесением на них значимого места города Светлогорска</t>
  </si>
  <si>
    <t>пжкх_2.08.2.20</t>
  </si>
  <si>
    <t>пжкх_2.08.2.21</t>
  </si>
  <si>
    <t>пжкх_2.08.2.22</t>
  </si>
  <si>
    <t>Выполнение работ по ремонту мостика, расположенного на территории озера «Тихое» в г. Светлогорске</t>
  </si>
  <si>
    <t>пжкх_2.08.2.26</t>
  </si>
  <si>
    <t>Выполнение работ по устройству лестничного ограждения по ул. Сосновая, г. Светлогорск</t>
  </si>
  <si>
    <t>пжкх_2.08.2.27</t>
  </si>
  <si>
    <t>пжкх_2.07.1.03</t>
  </si>
  <si>
    <t>Комплекс работ по реставрации мраморного памятника ГЕРОЯМ ВЕЛИКОЙ ОТЕЧЕСТВЕННОЙ ВОЙНЫ</t>
  </si>
  <si>
    <t>Выполнение работ по обустройству и установке памятника ГЕРОЯМ ВЕЛИКОЙ ОТЕЧЕСТВЕННОЙ ВОЙНЫ в п. Приморье возле Дома культуры</t>
  </si>
  <si>
    <t>Содержание и благоустройство водоемов на территории Светлогорского городского округа Выполнение работ по очистке от растительности водоема, расположенного по адресу: г. Светлогорск, пересечение улиц Пригородная и Цветочная</t>
  </si>
  <si>
    <t>Благоустройсто и озеленение территорий</t>
  </si>
  <si>
    <t xml:space="preserve">  МБУ ДЮЦ</t>
  </si>
  <si>
    <t xml:space="preserve">    МУП "Парки"</t>
  </si>
  <si>
    <t>27.05.2024</t>
  </si>
  <si>
    <t>не утверд._ 27.05</t>
  </si>
  <si>
    <t>уведомл._ ОБ</t>
  </si>
  <si>
    <t>передвижка по письму ???.06.2024</t>
  </si>
  <si>
    <t>пжкх_1.04.1.21</t>
  </si>
  <si>
    <t>Устройство сети УНО по улицам: Окружная, Весенняя, Берёзовая в г. Светлогорске</t>
  </si>
  <si>
    <t>Переустройство сети УНО по улице Ясных Зорь в г. Светлогорске (на участке от пересечения с переулком Мирный до пересечения с ул. Доброй)</t>
  </si>
  <si>
    <t>пжкх_1.04.1.23</t>
  </si>
  <si>
    <t>Ремонт КЛ 0,4 кВ от ТП 275-1 до СП дома №3 по ул. Садовой, пос. Донское (замена концевых муфт)</t>
  </si>
  <si>
    <t>Выполнение работ по объекту: «Развитие сети уличного освещения от ПП125-2 по ул. Заречной в г. Светлогорске», по объекту: «Развитие сети уличного освещения от ПП39-17 по пер. Спортивному в г. Светлогорске», по объекту: «Развитие сети уличного освещения от ПП39-3 по ул. Майская в г. Светлогорске», по объекту: «Развитие сети уличного освещения от ПП88-5 по ул. Ясных зорь (пешеходная дорожка к остановкам) в г. Светлогорске»</t>
  </si>
  <si>
    <t>S4128</t>
  </si>
  <si>
    <t>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</si>
  <si>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Капитальный ремонт игровой площадки по ул. Артиллерийская, вблизи дома №4 в п. Приморье, Светлогорского городского округа, Калининградской области (обязательства 2023)</t>
  </si>
  <si>
    <t>29.07.</t>
  </si>
  <si>
    <t>Совет_ окс</t>
  </si>
  <si>
    <t>Совет_ ожкх</t>
  </si>
  <si>
    <t>Капитальный ремонт наружного освещения спуска п. Приморье вблизи ул.Офицерская д.2, Светлогорского городского округа, Калининградской области</t>
  </si>
  <si>
    <t>Капитальный ремонт линии уличного освещения от ПП39-2 по ул. Пионерской в г. Светлогорске</t>
  </si>
  <si>
    <t>Капитальный ремонт линии электроснабжения от ТП39-2 до д.№26 по ул. Пионерской в г. Светлогорске</t>
  </si>
  <si>
    <t>Подключение мкд по ул. Артиллерийская, д. 10 к центральной канализации</t>
  </si>
  <si>
    <t>Подключение мкд по ул. Артиллерийская-Фруктовая к центральной канализации</t>
  </si>
  <si>
    <t>Подключение мкд по ул. Артиллерийская, д.8 к центральной канализации</t>
  </si>
  <si>
    <t>Подключение мкд по ул. Фруктовая к центральной канализации</t>
  </si>
  <si>
    <t>МБУ "РОН"</t>
  </si>
  <si>
    <t>Капитальный ремонт тротуара на территории кладбища в г. Светлогорске</t>
  </si>
  <si>
    <t>Приобретение удобрений</t>
  </si>
  <si>
    <t>Обустройство клумб и высадка растений</t>
  </si>
  <si>
    <t>Установка ступеней на спуске к морю в п. Отрадное</t>
  </si>
  <si>
    <t>пжкх_1.04.1.24</t>
  </si>
  <si>
    <t>пжкх_1.04.1.25</t>
  </si>
  <si>
    <t>пжкх_1.04.1.26</t>
  </si>
  <si>
    <t>пжкх_1.04.1.27</t>
  </si>
  <si>
    <t>пжкх_1.04.1.28</t>
  </si>
  <si>
    <t>пжкх_1.04.1.29</t>
  </si>
  <si>
    <t>пжкх_1.04.1.30</t>
  </si>
  <si>
    <t>пжкх_1.04.1.31</t>
  </si>
  <si>
    <t>пжкх_1.04.1.32</t>
  </si>
  <si>
    <t>S1390</t>
  </si>
  <si>
    <t>ИБ</t>
  </si>
  <si>
    <t>пжкх_2.08.2.29</t>
  </si>
  <si>
    <t>пжкх_2.08.2.09</t>
  </si>
  <si>
    <t>пжкх_2.08.2.30</t>
  </si>
  <si>
    <t>пжкх_2.09.1.03</t>
  </si>
  <si>
    <t>пжкх_3.10.1.08</t>
  </si>
  <si>
    <t>пжкх_3.10.1.09</t>
  </si>
  <si>
    <t xml:space="preserve">экономии </t>
  </si>
  <si>
    <t>Р №258 от 28.06</t>
  </si>
  <si>
    <t>Капитальный ремонт детской площадки по ул. Ясных Зорь в г. Светлогорске"</t>
  </si>
  <si>
    <t>пжкх_2.08.2.28</t>
  </si>
  <si>
    <t>кг.</t>
  </si>
  <si>
    <t>вес</t>
  </si>
  <si>
    <t>количество отремонтированных опор освещения</t>
  </si>
  <si>
    <t>протяженность отремонтированного тротуара</t>
  </si>
  <si>
    <t>Благоустройство сквера по ул. Преображенского в г. Светлогорске</t>
  </si>
  <si>
    <t>попр.кск</t>
  </si>
  <si>
    <t>Выполнение работ по внесению изменений в лесохозяйственный регламент и проведению лесоустроительных работ на площади 5,051 га, на землях городских лесов в границах муниципального образования «Светлогорского городского округа» Калининградской области</t>
  </si>
  <si>
    <t>Изготовление и установка ограждения на детскую игровую площадку по ул. Косогорная д.№ 10 в г. Светлогорске Калининградской области</t>
  </si>
  <si>
    <t>Демонтаж и монтаж ливневого колодца по ул. Железнодорожная в г. Светлогорске Калининградской области</t>
  </si>
  <si>
    <t>сент</t>
  </si>
  <si>
    <t>Совет</t>
  </si>
  <si>
    <t>пжкх_3.10.1.10</t>
  </si>
  <si>
    <t>пжкх_2.08.2.31</t>
  </si>
  <si>
    <t>пжкх_2.08.2.32</t>
  </si>
  <si>
    <t>пжкх_2.08.2.33</t>
  </si>
  <si>
    <t>09.09</t>
  </si>
  <si>
    <t>МБУ "Светлогорские парки"</t>
  </si>
  <si>
    <t>Субсидия на финансовое обеспечение муниципального задания на предоставление муниципальных услуг (выполнение работ) в сфере благоустройства</t>
  </si>
  <si>
    <t>пжкх_2.08.3.11</t>
  </si>
  <si>
    <t xml:space="preserve">Капитальный ремонт детской площадки по адресу: Калининградский проспект д.20 в г. Светлогорске Калининградской области </t>
  </si>
  <si>
    <t>Резиновое покрытие на площадку с расположенными на ней тренажерами, в районе озера Тихое, по адресу: г. Светлогорск, территория напротив дома № 69 по Калининградскому проспекту</t>
  </si>
  <si>
    <t>коррект. Кск</t>
  </si>
  <si>
    <t xml:space="preserve">Разработка концепции благоустройства сквера площадью 1800м2, расположенного в границах ул. Гагарина д.1а, 2, и Калининградского проспекта д. 35, 37 г. Светлогорск Калининградской области </t>
  </si>
  <si>
    <t>площадь объекта</t>
  </si>
  <si>
    <t>Осуществление мероприятий по разработке стратегической и технической документации  в отношении объектов жилищно-коммунального комплекса</t>
  </si>
  <si>
    <t>Осуществление мероприятий по  выполнению  проектно-изыскательской работы, работ по разработке и оказание услуг по экспертизе проектно-сметной (проверке достоверности сметной) документации объектов жилищно-коммунального комплекса</t>
  </si>
  <si>
    <t>Осуществление мероприятий по строительству, реконструкции и технологическому присоединению объектов жилищно-коммунального комплекса</t>
  </si>
  <si>
    <t>Осуществление мероприятий по модернизации (расширению/развитию), капитальному и текущему ремонту, содержание объектов жилищно-коммунального комплекса</t>
  </si>
  <si>
    <t>Субсидия на погашение кредиторской задолженности ТЭР</t>
  </si>
  <si>
    <t>Субсидия на финансовое обеспечение затрат, связанных с производством товаров, выполнением работ, оказанием услуг по мероприятиям, реализуемым в рамках муниципальной программы</t>
  </si>
  <si>
    <t>Осуществление мероприятий по водоотведению (хозяйственно-бытовая канализация)</t>
  </si>
  <si>
    <t>Осуществление мероприятий по содержанию площадок ТБО/ТКО</t>
  </si>
  <si>
    <t>Осуществление мероприятий по устройству площадок для выгула собак</t>
  </si>
  <si>
    <t>Осуществление мероприятий по созданию общественного городского кладбища (№3-4)</t>
  </si>
  <si>
    <t>справка 338,342 от 01.10.24</t>
  </si>
  <si>
    <t>было 40000 стало 42483,96</t>
  </si>
  <si>
    <t xml:space="preserve">Код основного мероприятия </t>
  </si>
  <si>
    <t>Основное мероприятие муниципальной программы</t>
  </si>
  <si>
    <t>значение показателя</t>
  </si>
  <si>
    <t xml:space="preserve">Объем финансирования,
руб.
</t>
  </si>
  <si>
    <t>Количество мероприятий</t>
  </si>
  <si>
    <t>Устройство системы  кабельных сетей для системы видеонаблюдения на променаде Светлогорского городского округа</t>
  </si>
  <si>
    <t xml:space="preserve">             Приложение №1  к распоряжению  к администрации муниципального образования
"Светлогорский городской округ"
от "07" ноября   2024 г. № 420       </t>
  </si>
  <si>
    <t>Изыскательские работы, разработка проектно-сметной документации на выполнение работ по благоустройству территорий общего пользования по объекту: ОТИУМ-ПАРК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</si>
</sst>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\ &quot;₽&quot;"/>
    <numFmt numFmtId="166" formatCode="#,##0.00\ _₽"/>
    <numFmt numFmtId="167" formatCode="0.0"/>
  </numFmts>
  <fonts count="4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theme="1" tint="0.14999847407452621"/>
      <name val="Times New Roman"/>
      <family val="1"/>
      <charset val="204"/>
    </font>
    <font>
      <sz val="11"/>
      <color theme="1" tint="4.9989318521683403E-2"/>
      <name val="Calibri"/>
      <family val="2"/>
      <charset val="204"/>
      <scheme val="minor"/>
    </font>
    <font>
      <b/>
      <sz val="11"/>
      <color rgb="FF0070C0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333333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B0F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1"/>
      <color rgb="FF00B0F0"/>
      <name val="Calibri"/>
      <family val="2"/>
      <charset val="204"/>
      <scheme val="minor"/>
    </font>
    <font>
      <sz val="12"/>
      <color rgb="FF0D0D0D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D60093"/>
      <name val="Times New Roman"/>
      <family val="1"/>
      <charset val="204"/>
    </font>
    <font>
      <b/>
      <sz val="11"/>
      <color rgb="FFD60093"/>
      <name val="Times New Roman"/>
      <family val="1"/>
      <charset val="204"/>
    </font>
    <font>
      <sz val="12"/>
      <color rgb="FFD60093"/>
      <name val="Times New Roman"/>
      <family val="1"/>
      <charset val="204"/>
    </font>
    <font>
      <sz val="8"/>
      <color theme="1" tint="4.9989318521683403E-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 tint="4.9989318521683403E-2"/>
      <name val="Times New Roman"/>
      <family val="1"/>
      <charset val="204"/>
    </font>
    <font>
      <b/>
      <sz val="8"/>
      <color rgb="FF00B0F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3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 wrapText="1"/>
    </xf>
    <xf numFmtId="4" fontId="10" fillId="0" borderId="0" xfId="0" applyNumberFormat="1" applyFont="1"/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49" fontId="1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3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2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165" fontId="0" fillId="0" borderId="0" xfId="0" applyNumberFormat="1"/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/>
    <xf numFmtId="4" fontId="5" fillId="0" borderId="1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1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21" fillId="4" borderId="1" xfId="0" applyNumberFormat="1" applyFont="1" applyFill="1" applyBorder="1" applyAlignment="1">
      <alignment horizontal="center" vertical="center" wrapText="1"/>
    </xf>
    <xf numFmtId="1" fontId="21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/>
    </xf>
    <xf numFmtId="2" fontId="21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7" fontId="22" fillId="0" borderId="0" xfId="0" applyNumberFormat="1" applyFont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 vertical="center" wrapText="1"/>
    </xf>
    <xf numFmtId="0" fontId="18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" fontId="13" fillId="5" borderId="1" xfId="0" applyNumberFormat="1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1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2" fontId="21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49" fontId="12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" fontId="13" fillId="0" borderId="0" xfId="0" applyNumberFormat="1" applyFont="1"/>
    <xf numFmtId="2" fontId="13" fillId="4" borderId="1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/>
    <xf numFmtId="10" fontId="0" fillId="0" borderId="0" xfId="0" applyNumberFormat="1"/>
    <xf numFmtId="4" fontId="4" fillId="0" borderId="0" xfId="0" applyNumberFormat="1" applyFont="1"/>
    <xf numFmtId="49" fontId="4" fillId="0" borderId="0" xfId="0" applyNumberFormat="1" applyFont="1"/>
    <xf numFmtId="49" fontId="12" fillId="0" borderId="0" xfId="0" applyNumberFormat="1" applyFont="1"/>
    <xf numFmtId="49" fontId="6" fillId="0" borderId="0" xfId="0" applyNumberFormat="1" applyFont="1"/>
    <xf numFmtId="49" fontId="11" fillId="0" borderId="0" xfId="0" applyNumberFormat="1" applyFont="1"/>
    <xf numFmtId="49" fontId="16" fillId="0" borderId="0" xfId="0" applyNumberFormat="1" applyFont="1"/>
    <xf numFmtId="49" fontId="0" fillId="0" borderId="0" xfId="0" applyNumberFormat="1"/>
    <xf numFmtId="49" fontId="7" fillId="0" borderId="0" xfId="0" applyNumberFormat="1" applyFont="1"/>
    <xf numFmtId="49" fontId="18" fillId="0" borderId="0" xfId="0" applyNumberFormat="1" applyFont="1"/>
    <xf numFmtId="49" fontId="19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4" fontId="21" fillId="4" borderId="1" xfId="0" applyNumberFormat="1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2" fontId="12" fillId="4" borderId="6" xfId="0" applyNumberFormat="1" applyFont="1" applyFill="1" applyBorder="1" applyAlignment="1">
      <alignment horizontal="center" vertical="center" wrapText="1"/>
    </xf>
    <xf numFmtId="2" fontId="12" fillId="5" borderId="6" xfId="0" applyNumberFormat="1" applyFont="1" applyFill="1" applyBorder="1" applyAlignment="1">
      <alignment horizontal="center" vertical="center" wrapText="1"/>
    </xf>
    <xf numFmtId="2" fontId="17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12" fillId="3" borderId="6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2" fontId="21" fillId="3" borderId="6" xfId="0" applyNumberFormat="1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2" fontId="13" fillId="3" borderId="6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25" fillId="0" borderId="0" xfId="0" applyNumberFormat="1" applyFont="1"/>
    <xf numFmtId="4" fontId="25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26" fillId="0" borderId="0" xfId="0" applyFont="1"/>
    <xf numFmtId="49" fontId="28" fillId="0" borderId="0" xfId="0" applyNumberFormat="1" applyFont="1"/>
    <xf numFmtId="0" fontId="28" fillId="0" borderId="6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0" fontId="28" fillId="0" borderId="0" xfId="0" applyFont="1"/>
    <xf numFmtId="49" fontId="29" fillId="0" borderId="0" xfId="0" applyNumberFormat="1" applyFont="1"/>
    <xf numFmtId="0" fontId="29" fillId="0" borderId="0" xfId="0" applyFont="1"/>
    <xf numFmtId="4" fontId="4" fillId="3" borderId="0" xfId="0" applyNumberFormat="1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vertical="center"/>
    </xf>
    <xf numFmtId="4" fontId="28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3" borderId="5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20" fillId="3" borderId="1" xfId="0" applyNumberFormat="1" applyFont="1" applyFill="1" applyBorder="1" applyAlignment="1">
      <alignment horizontal="center" vertical="center" wrapText="1"/>
    </xf>
    <xf numFmtId="1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/>
    </xf>
    <xf numFmtId="0" fontId="30" fillId="0" borderId="1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right" vertical="center"/>
    </xf>
    <xf numFmtId="49" fontId="31" fillId="0" borderId="0" xfId="0" applyNumberFormat="1" applyFont="1"/>
    <xf numFmtId="0" fontId="31" fillId="0" borderId="1" xfId="0" applyFont="1" applyBorder="1" applyAlignment="1">
      <alignment horizontal="center" vertical="center"/>
    </xf>
    <xf numFmtId="49" fontId="32" fillId="0" borderId="0" xfId="0" applyNumberFormat="1" applyFont="1"/>
    <xf numFmtId="0" fontId="33" fillId="0" borderId="1" xfId="0" applyFont="1" applyBorder="1" applyAlignment="1">
      <alignment horizontal="center" vertical="center" wrapText="1"/>
    </xf>
    <xf numFmtId="4" fontId="34" fillId="0" borderId="0" xfId="0" applyNumberFormat="1" applyFont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" fontId="36" fillId="2" borderId="1" xfId="0" applyNumberFormat="1" applyFont="1" applyFill="1" applyBorder="1" applyAlignment="1">
      <alignment horizontal="center" vertical="center" wrapText="1"/>
    </xf>
    <xf numFmtId="4" fontId="36" fillId="4" borderId="1" xfId="0" applyNumberFormat="1" applyFont="1" applyFill="1" applyBorder="1" applyAlignment="1">
      <alignment horizontal="center" vertical="center" wrapText="1"/>
    </xf>
    <xf numFmtId="4" fontId="36" fillId="5" borderId="1" xfId="0" applyNumberFormat="1" applyFont="1" applyFill="1" applyBorder="1" applyAlignment="1">
      <alignment horizontal="center" vertical="center" wrapText="1"/>
    </xf>
    <xf numFmtId="4" fontId="37" fillId="0" borderId="1" xfId="0" applyNumberFormat="1" applyFont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4" fontId="35" fillId="4" borderId="1" xfId="0" applyNumberFormat="1" applyFont="1" applyFill="1" applyBorder="1" applyAlignment="1">
      <alignment horizontal="center" vertical="center" wrapText="1"/>
    </xf>
    <xf numFmtId="4" fontId="35" fillId="5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Border="1" applyAlignment="1">
      <alignment horizontal="center" vertical="center" wrapText="1"/>
    </xf>
    <xf numFmtId="4" fontId="40" fillId="0" borderId="1" xfId="0" applyNumberFormat="1" applyFont="1" applyBorder="1" applyAlignment="1">
      <alignment horizontal="center" vertical="center" wrapText="1"/>
    </xf>
    <xf numFmtId="4" fontId="34" fillId="3" borderId="1" xfId="0" applyNumberFormat="1" applyFont="1" applyFill="1" applyBorder="1" applyAlignment="1">
      <alignment horizontal="center" vertical="center" wrapText="1"/>
    </xf>
    <xf numFmtId="4" fontId="40" fillId="3" borderId="1" xfId="0" applyNumberFormat="1" applyFont="1" applyFill="1" applyBorder="1" applyAlignment="1">
      <alignment horizontal="center" vertical="center" wrapText="1"/>
    </xf>
    <xf numFmtId="4" fontId="34" fillId="0" borderId="1" xfId="1" applyNumberFormat="1" applyFont="1" applyBorder="1" applyAlignment="1">
      <alignment vertical="center"/>
    </xf>
    <xf numFmtId="4" fontId="36" fillId="6" borderId="1" xfId="0" applyNumberFormat="1" applyFont="1" applyFill="1" applyBorder="1" applyAlignment="1">
      <alignment horizontal="center" vertical="center" wrapText="1"/>
    </xf>
    <xf numFmtId="4" fontId="37" fillId="3" borderId="1" xfId="0" applyNumberFormat="1" applyFont="1" applyFill="1" applyBorder="1" applyAlignment="1">
      <alignment horizontal="center" vertical="center" wrapText="1"/>
    </xf>
    <xf numFmtId="4" fontId="34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3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34" fillId="7" borderId="1" xfId="0" applyNumberFormat="1" applyFont="1" applyFill="1" applyBorder="1" applyAlignment="1">
      <alignment horizontal="center" vertical="center" wrapText="1"/>
    </xf>
    <xf numFmtId="4" fontId="34" fillId="9" borderId="1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Alignment="1">
      <alignment horizontal="right" vertical="center"/>
    </xf>
    <xf numFmtId="49" fontId="20" fillId="0" borderId="1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34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7" fillId="0" borderId="7" xfId="0" applyNumberFormat="1" applyFont="1" applyBorder="1" applyAlignment="1">
      <alignment horizontal="center" vertical="center" wrapText="1"/>
    </xf>
    <xf numFmtId="4" fontId="17" fillId="0" borderId="7" xfId="0" applyNumberFormat="1" applyFont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37" fillId="0" borderId="7" xfId="0" applyNumberFormat="1" applyFont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4" fontId="36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10" fillId="0" borderId="0" xfId="0" applyNumberFormat="1" applyFont="1" applyAlignment="1">
      <alignment horizontal="right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9" fontId="35" fillId="1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8" borderId="1" xfId="0" applyNumberFormat="1" applyFont="1" applyFill="1" applyBorder="1" applyAlignment="1">
      <alignment horizontal="center" vertical="center" wrapText="1"/>
    </xf>
    <xf numFmtId="4" fontId="13" fillId="8" borderId="1" xfId="0" applyNumberFormat="1" applyFont="1" applyFill="1" applyBorder="1" applyAlignment="1">
      <alignment horizontal="center" vertical="center" wrapText="1"/>
    </xf>
    <xf numFmtId="49" fontId="13" fillId="8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4" fontId="35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righ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36" fillId="0" borderId="5" xfId="0" applyNumberFormat="1" applyFont="1" applyBorder="1" applyAlignment="1">
      <alignment horizontal="center" vertical="center" wrapText="1"/>
    </xf>
    <xf numFmtId="4" fontId="36" fillId="0" borderId="7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CCFF"/>
      <color rgb="FFFF0066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nalbadyan\Desktop\&#1052;&#1059;&#1053;&#1048;&#1062;&#1048;&#1056;&#1040;&#1051;&#1068;&#1053;&#1067;&#1045;%20&#1055;&#1056;&#1054;&#1043;&#1056;&#1040;&#1052;&#1052;&#1067;\2024\&#1101;&#1085;&#1077;&#1088;&#1075;&#1086;\&#1101;&#1085;&#1077;&#1088;&#1075;&#1086;%20%202024_.xlsx" TargetMode="External"/><Relationship Id="rId1" Type="http://schemas.openxmlformats.org/officeDocument/2006/relationships/externalLinkPath" Target="/Users/d.nalbadyan/Desktop/&#1052;&#1059;&#1053;&#1048;&#1062;&#1048;&#1056;&#1040;&#1051;&#1068;&#1053;&#1067;&#1045;%20&#1055;&#1056;&#1054;&#1043;&#1056;&#1040;&#1052;&#1052;&#1067;/2024/&#1101;&#1085;&#1077;&#1088;&#1075;&#1086;/&#1101;&#1085;&#1077;&#1088;&#1075;&#1086;%20%202024_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nalbadyan\Desktop\&#1052;&#1059;&#1053;&#1048;&#1062;&#1048;&#1056;&#1040;&#1051;&#1068;&#1053;&#1067;&#1045;%20&#1055;&#1056;&#1054;&#1043;&#1056;&#1040;&#1052;&#1052;&#1067;\2024\&#1082;&#1072;&#1087;%20&#1088;&#1077;&#1084;&#1086;&#1085;&#1090;\&#1082;&#1072;&#1087;&#1080;&#1090;&#1072;&#1083;&#1100;&#1085;&#1099;&#1081;%202024.xlsx" TargetMode="External"/><Relationship Id="rId1" Type="http://schemas.openxmlformats.org/officeDocument/2006/relationships/externalLinkPath" Target="/Users/d.nalbadyan/Desktop/&#1052;&#1059;&#1053;&#1048;&#1062;&#1048;&#1056;&#1040;&#1051;&#1068;&#1053;&#1067;&#1045;%20&#1055;&#1056;&#1054;&#1043;&#1056;&#1040;&#1052;&#1052;&#1067;/2024/&#1082;&#1072;&#1087;%20&#1088;&#1077;&#1084;&#1086;&#1085;&#1090;/&#1082;&#1072;&#1087;&#1080;&#1090;&#1072;&#1083;&#1100;&#1085;&#1099;&#1081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1"/>
      <sheetName val="приложение 2"/>
      <sheetName val="план"/>
      <sheetName val="Лист1"/>
    </sheetNames>
    <sheetDataSet>
      <sheetData sheetId="0" refreshError="1"/>
      <sheetData sheetId="1" refreshError="1"/>
      <sheetData sheetId="2">
        <row r="25">
          <cell r="D25" t="str">
            <v>иная суб_МБУ "Спецремтранс"</v>
          </cell>
          <cell r="E25" t="str">
            <v>приобретение и установка теплового счетчика в здании МБУ "Спецремтранс"</v>
          </cell>
          <cell r="L25">
            <v>145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1"/>
      <sheetName val="приложение 2"/>
      <sheetName val="план"/>
      <sheetName val="Лист1"/>
    </sheetNames>
    <sheetDataSet>
      <sheetData sheetId="0"/>
      <sheetData sheetId="1"/>
      <sheetData sheetId="2">
        <row r="31">
          <cell r="E31" t="str">
            <v>Текущий ремонт помещения здания МБУ "Спецремтранс" по адресу : г. Светлогорск, ул. Новая, д.2</v>
          </cell>
          <cell r="L31">
            <v>823.76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5"/>
  <sheetViews>
    <sheetView zoomScale="80" zoomScaleNormal="80" workbookViewId="0">
      <selection activeCell="J1" sqref="J1:K2"/>
    </sheetView>
  </sheetViews>
  <sheetFormatPr defaultRowHeight="15" x14ac:dyDescent="0.25"/>
  <cols>
    <col min="2" max="2" width="9.140625" style="36"/>
    <col min="3" max="3" width="33.85546875" style="36" customWidth="1"/>
    <col min="4" max="4" width="17.42578125" style="36" customWidth="1"/>
    <col min="5" max="5" width="15" style="142" customWidth="1"/>
    <col min="6" max="6" width="15.28515625" style="142" customWidth="1"/>
    <col min="7" max="7" width="15.85546875" style="4" customWidth="1"/>
    <col min="8" max="8" width="15" style="4" customWidth="1"/>
    <col min="9" max="9" width="14.85546875" style="4" customWidth="1"/>
    <col min="10" max="10" width="15" style="4" customWidth="1"/>
    <col min="11" max="11" width="42.140625" style="4" customWidth="1"/>
    <col min="12" max="12" width="0" hidden="1" customWidth="1"/>
    <col min="13" max="13" width="13.85546875" bestFit="1" customWidth="1"/>
  </cols>
  <sheetData>
    <row r="1" spans="2:13" ht="22.5" customHeight="1" x14ac:dyDescent="0.25">
      <c r="J1" s="296" t="s">
        <v>245</v>
      </c>
      <c r="K1" s="297"/>
    </row>
    <row r="2" spans="2:13" ht="90.75" customHeight="1" x14ac:dyDescent="0.25">
      <c r="J2" s="297"/>
      <c r="K2" s="297"/>
    </row>
    <row r="3" spans="2:13" ht="62.25" customHeight="1" x14ac:dyDescent="0.25">
      <c r="B3" s="294" t="s">
        <v>110</v>
      </c>
      <c r="C3" s="295"/>
      <c r="D3" s="295"/>
      <c r="E3" s="295"/>
      <c r="F3" s="295"/>
      <c r="G3" s="295"/>
      <c r="H3" s="295"/>
      <c r="I3" s="295"/>
      <c r="J3" s="295"/>
      <c r="K3" s="295"/>
    </row>
    <row r="4" spans="2:13" ht="63" x14ac:dyDescent="0.25">
      <c r="B4" s="28" t="s">
        <v>0</v>
      </c>
      <c r="C4" s="28" t="s">
        <v>1</v>
      </c>
      <c r="D4" s="28" t="s">
        <v>2</v>
      </c>
      <c r="E4" s="28" t="s">
        <v>3</v>
      </c>
      <c r="F4" s="28" t="s">
        <v>4</v>
      </c>
      <c r="G4" s="1" t="s">
        <v>5</v>
      </c>
      <c r="H4" s="1" t="s">
        <v>6</v>
      </c>
      <c r="I4" s="1" t="s">
        <v>20</v>
      </c>
      <c r="J4" s="1" t="s">
        <v>7</v>
      </c>
      <c r="K4" s="1" t="s">
        <v>8</v>
      </c>
    </row>
    <row r="5" spans="2:13" ht="15.75" customHeight="1" x14ac:dyDescent="0.25">
      <c r="B5" s="306" t="s">
        <v>238</v>
      </c>
      <c r="C5" s="307"/>
      <c r="D5" s="307"/>
      <c r="E5" s="307"/>
      <c r="F5" s="307"/>
      <c r="G5" s="307"/>
      <c r="H5" s="307"/>
      <c r="I5" s="307"/>
      <c r="J5" s="307"/>
      <c r="K5" s="308"/>
    </row>
    <row r="6" spans="2:13" ht="21.75" customHeight="1" x14ac:dyDescent="0.25">
      <c r="B6" s="28" t="s">
        <v>9</v>
      </c>
      <c r="C6" s="303" t="s">
        <v>244</v>
      </c>
      <c r="D6" s="304"/>
      <c r="E6" s="304"/>
      <c r="F6" s="304"/>
      <c r="G6" s="304"/>
      <c r="H6" s="304"/>
      <c r="I6" s="304"/>
      <c r="J6" s="304"/>
      <c r="K6" s="305"/>
    </row>
    <row r="7" spans="2:13" ht="39" customHeight="1" x14ac:dyDescent="0.25">
      <c r="B7" s="299" t="s">
        <v>117</v>
      </c>
      <c r="C7" s="298" t="s">
        <v>225</v>
      </c>
      <c r="D7" s="298"/>
      <c r="E7" s="28" t="s">
        <v>38</v>
      </c>
      <c r="F7" s="102">
        <v>12</v>
      </c>
      <c r="G7" s="102">
        <v>6</v>
      </c>
      <c r="H7" s="102">
        <v>0</v>
      </c>
      <c r="I7" s="102">
        <v>0</v>
      </c>
      <c r="J7" s="102">
        <f>G7</f>
        <v>6</v>
      </c>
      <c r="K7" s="301" t="s">
        <v>124</v>
      </c>
    </row>
    <row r="8" spans="2:13" ht="42" customHeight="1" x14ac:dyDescent="0.25">
      <c r="B8" s="300"/>
      <c r="C8" s="298" t="s">
        <v>224</v>
      </c>
      <c r="D8" s="298"/>
      <c r="E8" s="28" t="s">
        <v>38</v>
      </c>
      <c r="F8" s="102">
        <v>0</v>
      </c>
      <c r="G8" s="123">
        <v>5</v>
      </c>
      <c r="H8" s="123">
        <v>0</v>
      </c>
      <c r="I8" s="123">
        <v>0</v>
      </c>
      <c r="J8" s="123">
        <f>G8</f>
        <v>5</v>
      </c>
      <c r="K8" s="302"/>
      <c r="L8" s="57"/>
      <c r="M8" s="58"/>
    </row>
    <row r="9" spans="2:13" ht="87" customHeight="1" x14ac:dyDescent="0.25">
      <c r="B9" s="38" t="s">
        <v>36</v>
      </c>
      <c r="C9" s="77" t="s">
        <v>347</v>
      </c>
      <c r="D9" s="28" t="s">
        <v>74</v>
      </c>
      <c r="E9" s="28" t="s">
        <v>38</v>
      </c>
      <c r="F9" s="60">
        <v>0</v>
      </c>
      <c r="G9" s="60">
        <v>3</v>
      </c>
      <c r="H9" s="60">
        <v>0</v>
      </c>
      <c r="I9" s="60">
        <v>0</v>
      </c>
      <c r="J9" s="59">
        <f t="shared" ref="J9" si="0">G9</f>
        <v>3</v>
      </c>
      <c r="K9" s="1" t="s">
        <v>124</v>
      </c>
    </row>
    <row r="10" spans="2:13" ht="127.5" customHeight="1" x14ac:dyDescent="0.25">
      <c r="B10" s="38" t="s">
        <v>37</v>
      </c>
      <c r="C10" s="77" t="s">
        <v>254</v>
      </c>
      <c r="D10" s="28" t="s">
        <v>74</v>
      </c>
      <c r="E10" s="28" t="s">
        <v>38</v>
      </c>
      <c r="F10" s="60">
        <v>0</v>
      </c>
      <c r="G10" s="60">
        <v>0</v>
      </c>
      <c r="H10" s="60">
        <v>0</v>
      </c>
      <c r="I10" s="60">
        <v>0</v>
      </c>
      <c r="J10" s="59">
        <v>0</v>
      </c>
      <c r="K10" s="1" t="s">
        <v>124</v>
      </c>
    </row>
    <row r="11" spans="2:13" ht="84" customHeight="1" x14ac:dyDescent="0.25">
      <c r="B11" s="38" t="s">
        <v>41</v>
      </c>
      <c r="C11" s="77" t="s">
        <v>178</v>
      </c>
      <c r="D11" s="28" t="s">
        <v>74</v>
      </c>
      <c r="E11" s="28" t="s">
        <v>38</v>
      </c>
      <c r="F11" s="60">
        <v>0</v>
      </c>
      <c r="G11" s="60">
        <v>1</v>
      </c>
      <c r="H11" s="60">
        <v>1</v>
      </c>
      <c r="I11" s="60">
        <v>1</v>
      </c>
      <c r="J11" s="59">
        <v>3</v>
      </c>
      <c r="K11" s="1" t="s">
        <v>124</v>
      </c>
    </row>
    <row r="12" spans="2:13" ht="84.75" customHeight="1" x14ac:dyDescent="0.25">
      <c r="B12" s="38" t="s">
        <v>42</v>
      </c>
      <c r="C12" s="77" t="s">
        <v>240</v>
      </c>
      <c r="D12" s="28" t="s">
        <v>74</v>
      </c>
      <c r="E12" s="28" t="s">
        <v>38</v>
      </c>
      <c r="F12" s="60">
        <v>0</v>
      </c>
      <c r="G12" s="60">
        <v>30</v>
      </c>
      <c r="H12" s="60">
        <v>7</v>
      </c>
      <c r="I12" s="60">
        <v>6</v>
      </c>
      <c r="J12" s="59">
        <f>G12+H12+I12</f>
        <v>43</v>
      </c>
      <c r="K12" s="1" t="s">
        <v>124</v>
      </c>
    </row>
    <row r="13" spans="2:13" ht="15.75" customHeight="1" x14ac:dyDescent="0.25">
      <c r="B13" s="306" t="s">
        <v>157</v>
      </c>
      <c r="C13" s="307"/>
      <c r="D13" s="307"/>
      <c r="E13" s="307"/>
      <c r="F13" s="307"/>
      <c r="G13" s="307"/>
      <c r="H13" s="307"/>
      <c r="I13" s="307"/>
      <c r="J13" s="307"/>
      <c r="K13" s="308"/>
    </row>
    <row r="14" spans="2:13" ht="28.5" customHeight="1" x14ac:dyDescent="0.25">
      <c r="B14" s="38" t="s">
        <v>159</v>
      </c>
      <c r="C14" s="303" t="s">
        <v>185</v>
      </c>
      <c r="D14" s="304"/>
      <c r="E14" s="304"/>
      <c r="F14" s="304"/>
      <c r="G14" s="304"/>
      <c r="H14" s="304"/>
      <c r="I14" s="304"/>
      <c r="J14" s="304"/>
      <c r="K14" s="305"/>
    </row>
    <row r="15" spans="2:13" ht="87.75" customHeight="1" x14ac:dyDescent="0.25">
      <c r="B15" s="38" t="s">
        <v>165</v>
      </c>
      <c r="C15" s="298" t="s">
        <v>72</v>
      </c>
      <c r="D15" s="298"/>
      <c r="E15" s="28" t="s">
        <v>40</v>
      </c>
      <c r="F15" s="124">
        <f>482.264*1000</f>
        <v>482264</v>
      </c>
      <c r="G15" s="124">
        <v>1230</v>
      </c>
      <c r="H15" s="124">
        <v>0</v>
      </c>
      <c r="I15" s="124">
        <v>0</v>
      </c>
      <c r="J15" s="124">
        <f>F15+G15</f>
        <v>483494</v>
      </c>
      <c r="K15" s="1" t="s">
        <v>124</v>
      </c>
    </row>
    <row r="16" spans="2:13" ht="93.75" customHeight="1" x14ac:dyDescent="0.25">
      <c r="B16" s="38" t="s">
        <v>43</v>
      </c>
      <c r="C16" s="39" t="s">
        <v>160</v>
      </c>
      <c r="D16" s="39" t="s">
        <v>74</v>
      </c>
      <c r="E16" s="28" t="s">
        <v>38</v>
      </c>
      <c r="F16" s="124">
        <v>4</v>
      </c>
      <c r="G16" s="124">
        <v>6</v>
      </c>
      <c r="H16" s="124">
        <v>0</v>
      </c>
      <c r="I16" s="124">
        <v>0</v>
      </c>
      <c r="J16" s="124">
        <f>F16+G16</f>
        <v>10</v>
      </c>
      <c r="K16" s="1" t="s">
        <v>124</v>
      </c>
    </row>
    <row r="17" spans="2:11" ht="101.25" hidden="1" customHeight="1" x14ac:dyDescent="0.25">
      <c r="B17" s="38" t="s">
        <v>44</v>
      </c>
      <c r="C17" s="39" t="s">
        <v>252</v>
      </c>
      <c r="D17" s="39" t="s">
        <v>74</v>
      </c>
      <c r="E17" s="28" t="s">
        <v>38</v>
      </c>
      <c r="F17" s="124">
        <v>0</v>
      </c>
      <c r="G17" s="124">
        <v>0</v>
      </c>
      <c r="H17" s="124">
        <v>0</v>
      </c>
      <c r="I17" s="124">
        <v>0</v>
      </c>
      <c r="J17" s="124">
        <f t="shared" ref="J17:J18" si="1">F17+G17</f>
        <v>0</v>
      </c>
      <c r="K17" s="1" t="s">
        <v>219</v>
      </c>
    </row>
    <row r="18" spans="2:11" ht="95.25" customHeight="1" x14ac:dyDescent="0.25">
      <c r="B18" s="38" t="s">
        <v>45</v>
      </c>
      <c r="C18" s="39" t="s">
        <v>190</v>
      </c>
      <c r="D18" s="39" t="s">
        <v>74</v>
      </c>
      <c r="E18" s="28" t="s">
        <v>38</v>
      </c>
      <c r="F18" s="124">
        <v>0</v>
      </c>
      <c r="G18" s="124">
        <v>3</v>
      </c>
      <c r="H18" s="124">
        <v>0</v>
      </c>
      <c r="I18" s="124">
        <v>0</v>
      </c>
      <c r="J18" s="124">
        <f t="shared" si="1"/>
        <v>3</v>
      </c>
      <c r="K18" s="1" t="s">
        <v>219</v>
      </c>
    </row>
    <row r="19" spans="2:11" ht="102.75" customHeight="1" x14ac:dyDescent="0.25">
      <c r="B19" s="38" t="s">
        <v>46</v>
      </c>
      <c r="C19" s="39" t="s">
        <v>39</v>
      </c>
      <c r="D19" s="39" t="s">
        <v>72</v>
      </c>
      <c r="E19" s="28" t="s">
        <v>40</v>
      </c>
      <c r="F19" s="124">
        <f>392554+249672</f>
        <v>642226</v>
      </c>
      <c r="G19" s="124">
        <v>642226</v>
      </c>
      <c r="H19" s="124">
        <v>642226</v>
      </c>
      <c r="I19" s="124">
        <v>642226</v>
      </c>
      <c r="J19" s="124">
        <v>642226</v>
      </c>
      <c r="K19" s="1" t="s">
        <v>221</v>
      </c>
    </row>
    <row r="20" spans="2:11" ht="78.75" x14ac:dyDescent="0.25">
      <c r="B20" s="38" t="s">
        <v>56</v>
      </c>
      <c r="C20" s="39" t="s">
        <v>161</v>
      </c>
      <c r="D20" s="39" t="s">
        <v>211</v>
      </c>
      <c r="E20" s="28" t="s">
        <v>38</v>
      </c>
      <c r="F20" s="124">
        <v>2</v>
      </c>
      <c r="G20" s="124">
        <v>2</v>
      </c>
      <c r="H20" s="124">
        <v>2</v>
      </c>
      <c r="I20" s="124">
        <v>2</v>
      </c>
      <c r="J20" s="124">
        <v>2</v>
      </c>
      <c r="K20" s="1" t="s">
        <v>220</v>
      </c>
    </row>
    <row r="21" spans="2:11" ht="15.75" x14ac:dyDescent="0.25">
      <c r="B21" s="309" t="s">
        <v>227</v>
      </c>
      <c r="C21" s="310"/>
      <c r="D21" s="310"/>
      <c r="E21" s="310"/>
      <c r="F21" s="310"/>
      <c r="G21" s="310"/>
      <c r="H21" s="310"/>
      <c r="I21" s="310"/>
      <c r="J21" s="310"/>
      <c r="K21" s="311"/>
    </row>
    <row r="22" spans="2:11" ht="31.5" customHeight="1" x14ac:dyDescent="0.25">
      <c r="B22" s="38" t="s">
        <v>162</v>
      </c>
      <c r="C22" s="303" t="s">
        <v>228</v>
      </c>
      <c r="D22" s="304"/>
      <c r="E22" s="304"/>
      <c r="F22" s="304"/>
      <c r="G22" s="304"/>
      <c r="H22" s="304"/>
      <c r="I22" s="304"/>
      <c r="J22" s="304"/>
      <c r="K22" s="305"/>
    </row>
    <row r="23" spans="2:11" ht="87" customHeight="1" x14ac:dyDescent="0.25">
      <c r="B23" s="38" t="s">
        <v>166</v>
      </c>
      <c r="C23" s="298" t="s">
        <v>79</v>
      </c>
      <c r="D23" s="298"/>
      <c r="E23" s="28" t="s">
        <v>69</v>
      </c>
      <c r="F23" s="124">
        <v>7558</v>
      </c>
      <c r="G23" s="149">
        <v>7892</v>
      </c>
      <c r="H23" s="124">
        <v>0</v>
      </c>
      <c r="I23" s="124">
        <v>0</v>
      </c>
      <c r="J23" s="124">
        <f>G23</f>
        <v>7892</v>
      </c>
      <c r="K23" s="1" t="s">
        <v>124</v>
      </c>
    </row>
    <row r="24" spans="2:11" ht="102" customHeight="1" x14ac:dyDescent="0.25">
      <c r="B24" s="38" t="s">
        <v>123</v>
      </c>
      <c r="C24" s="39" t="s">
        <v>163</v>
      </c>
      <c r="D24" s="39" t="s">
        <v>146</v>
      </c>
      <c r="E24" s="28" t="s">
        <v>40</v>
      </c>
      <c r="F24" s="124">
        <f>283309.55-400</f>
        <v>282909.55</v>
      </c>
      <c r="G24" s="124">
        <v>283309.55</v>
      </c>
      <c r="H24" s="124">
        <v>283309.55</v>
      </c>
      <c r="I24" s="124">
        <v>283309.55</v>
      </c>
      <c r="J24" s="124">
        <v>283309.55</v>
      </c>
      <c r="K24" s="1" t="s">
        <v>124</v>
      </c>
    </row>
    <row r="25" spans="2:11" ht="85.5" hidden="1" customHeight="1" x14ac:dyDescent="0.25">
      <c r="B25" s="38" t="s">
        <v>193</v>
      </c>
      <c r="C25" s="39" t="s">
        <v>164</v>
      </c>
      <c r="D25" s="39" t="s">
        <v>146</v>
      </c>
      <c r="E25" s="28" t="s">
        <v>40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" t="s">
        <v>124</v>
      </c>
    </row>
  </sheetData>
  <mergeCells count="14">
    <mergeCell ref="C22:K22"/>
    <mergeCell ref="C14:K14"/>
    <mergeCell ref="C23:D23"/>
    <mergeCell ref="C15:D15"/>
    <mergeCell ref="B5:K5"/>
    <mergeCell ref="B13:K13"/>
    <mergeCell ref="B21:K21"/>
    <mergeCell ref="C6:K6"/>
    <mergeCell ref="B3:K3"/>
    <mergeCell ref="J1:K2"/>
    <mergeCell ref="C8:D8"/>
    <mergeCell ref="C7:D7"/>
    <mergeCell ref="B7:B8"/>
    <mergeCell ref="K7:K8"/>
  </mergeCells>
  <phoneticPr fontId="3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134"/>
  <sheetViews>
    <sheetView workbookViewId="0">
      <selection activeCell="E39" sqref="E39"/>
    </sheetView>
  </sheetViews>
  <sheetFormatPr defaultRowHeight="15" x14ac:dyDescent="0.25"/>
  <cols>
    <col min="2" max="2" width="19.85546875" style="71" customWidth="1"/>
    <col min="3" max="3" width="39.42578125" customWidth="1"/>
    <col min="4" max="4" width="23.28515625" style="36" customWidth="1"/>
    <col min="5" max="5" width="17.7109375" style="42" customWidth="1"/>
    <col min="6" max="6" width="18.42578125" style="42" customWidth="1"/>
    <col min="7" max="7" width="23" style="42" customWidth="1"/>
    <col min="9" max="10" width="10" bestFit="1" customWidth="1"/>
    <col min="11" max="11" width="13.28515625" customWidth="1"/>
    <col min="12" max="12" width="11.85546875" customWidth="1"/>
    <col min="13" max="14" width="10" bestFit="1" customWidth="1"/>
  </cols>
  <sheetData>
    <row r="1" spans="2:13" ht="128.25" customHeight="1" x14ac:dyDescent="0.25">
      <c r="F1" s="328" t="s">
        <v>246</v>
      </c>
      <c r="G1" s="328"/>
    </row>
    <row r="3" spans="2:13" ht="35.25" customHeight="1" x14ac:dyDescent="0.25">
      <c r="B3" s="294" t="s">
        <v>108</v>
      </c>
      <c r="C3" s="294"/>
      <c r="D3" s="294"/>
      <c r="E3" s="294"/>
      <c r="F3" s="294"/>
      <c r="G3" s="294"/>
    </row>
    <row r="4" spans="2:13" ht="27" customHeight="1" x14ac:dyDescent="0.25">
      <c r="B4" s="321" t="s">
        <v>10</v>
      </c>
      <c r="C4" s="321" t="s">
        <v>11</v>
      </c>
      <c r="D4" s="298" t="s">
        <v>12</v>
      </c>
      <c r="E4" s="322" t="s">
        <v>13</v>
      </c>
      <c r="F4" s="322"/>
      <c r="G4" s="322"/>
    </row>
    <row r="5" spans="2:13" ht="15.75" x14ac:dyDescent="0.25">
      <c r="B5" s="321"/>
      <c r="C5" s="321"/>
      <c r="D5" s="298"/>
      <c r="E5" s="43" t="s">
        <v>14</v>
      </c>
      <c r="F5" s="43" t="s">
        <v>15</v>
      </c>
      <c r="G5" s="43" t="s">
        <v>109</v>
      </c>
    </row>
    <row r="6" spans="2:13" ht="15.75" x14ac:dyDescent="0.25">
      <c r="B6" s="1">
        <v>1</v>
      </c>
      <c r="C6" s="1">
        <v>2</v>
      </c>
      <c r="D6" s="28">
        <v>3</v>
      </c>
      <c r="E6" s="44">
        <v>4</v>
      </c>
      <c r="F6" s="44">
        <v>5</v>
      </c>
      <c r="G6" s="44">
        <v>6</v>
      </c>
    </row>
    <row r="7" spans="2:13" ht="15.75" x14ac:dyDescent="0.25">
      <c r="B7" s="320" t="s">
        <v>348</v>
      </c>
      <c r="C7" s="320"/>
      <c r="D7" s="39" t="s">
        <v>16</v>
      </c>
      <c r="E7" s="40">
        <f>E11+E15+E19+E23+E27+E31+E35+E43+E39+E47</f>
        <v>254157.35</v>
      </c>
      <c r="F7" s="40">
        <f t="shared" ref="F7:G8" si="0">F11+F15+F19+F23+F27+F31+F35+F43+F39+F47</f>
        <v>120676.83999999998</v>
      </c>
      <c r="G7" s="40">
        <f t="shared" si="0"/>
        <v>104226.84999999999</v>
      </c>
      <c r="I7" s="2"/>
      <c r="J7" s="2"/>
      <c r="K7" s="2"/>
    </row>
    <row r="8" spans="2:13" ht="15.75" x14ac:dyDescent="0.25">
      <c r="B8" s="320"/>
      <c r="C8" s="320"/>
      <c r="D8" s="39" t="s">
        <v>17</v>
      </c>
      <c r="E8" s="40">
        <f>E12+E16+E20+E24+E28+E32+E36+E44+E40+E48</f>
        <v>51555.280000000006</v>
      </c>
      <c r="F8" s="40">
        <f t="shared" si="0"/>
        <v>0</v>
      </c>
      <c r="G8" s="40">
        <f t="shared" si="0"/>
        <v>0</v>
      </c>
    </row>
    <row r="9" spans="2:13" ht="15.75" x14ac:dyDescent="0.25">
      <c r="B9" s="320"/>
      <c r="C9" s="320"/>
      <c r="D9" s="39" t="s">
        <v>18</v>
      </c>
      <c r="E9" s="40">
        <f>E13+E17+E21+E25+E29+E33+E37+E45+E41+E49</f>
        <v>202602.07</v>
      </c>
      <c r="F9" s="40">
        <f t="shared" ref="F9:G9" si="1">F13+F17+F21+F25+F29+F33+F37+F45+F41+F49</f>
        <v>120676.83999999998</v>
      </c>
      <c r="G9" s="40">
        <f t="shared" si="1"/>
        <v>104226.84999999999</v>
      </c>
    </row>
    <row r="10" spans="2:13" ht="17.25" customHeight="1" x14ac:dyDescent="0.25">
      <c r="B10" s="320"/>
      <c r="C10" s="320"/>
      <c r="D10" s="39" t="s">
        <v>19</v>
      </c>
      <c r="E10" s="40">
        <f>E14+E18+E22+E26+E30+E34+E38+E46+E42</f>
        <v>0</v>
      </c>
      <c r="F10" s="40">
        <f t="shared" ref="F10:G10" si="2">F14+F18+F22+F26+F30+F34+F38+F46+F42</f>
        <v>0</v>
      </c>
      <c r="G10" s="40">
        <f t="shared" si="2"/>
        <v>0</v>
      </c>
    </row>
    <row r="11" spans="2:13" ht="15.75" customHeight="1" x14ac:dyDescent="0.25">
      <c r="B11" s="313" t="s">
        <v>36</v>
      </c>
      <c r="C11" s="312" t="str">
        <f>'приложение 1'!C9</f>
        <v>Разработка стратегической и технической документации в отношении объектов жилищно-коммунального комплекса</v>
      </c>
      <c r="D11" s="39" t="s">
        <v>16</v>
      </c>
      <c r="E11" s="41">
        <f>E13</f>
        <v>1550</v>
      </c>
      <c r="F11" s="41">
        <f t="shared" ref="F11:G11" si="3">F13</f>
        <v>0</v>
      </c>
      <c r="G11" s="41">
        <f t="shared" si="3"/>
        <v>0</v>
      </c>
    </row>
    <row r="12" spans="2:13" ht="15.75" x14ac:dyDescent="0.25">
      <c r="B12" s="313"/>
      <c r="C12" s="312"/>
      <c r="D12" s="39" t="s">
        <v>17</v>
      </c>
      <c r="E12" s="41">
        <v>0</v>
      </c>
      <c r="F12" s="41">
        <v>0</v>
      </c>
      <c r="G12" s="41">
        <v>0</v>
      </c>
      <c r="K12" s="2"/>
      <c r="L12" s="2"/>
      <c r="M12" s="2"/>
    </row>
    <row r="13" spans="2:13" ht="15.75" x14ac:dyDescent="0.25">
      <c r="B13" s="313"/>
      <c r="C13" s="312"/>
      <c r="D13" s="39" t="s">
        <v>18</v>
      </c>
      <c r="E13" s="41">
        <f>'план сент24'!AF15</f>
        <v>1550</v>
      </c>
      <c r="F13" s="41">
        <f>'план сент24'!O15</f>
        <v>0</v>
      </c>
      <c r="G13" s="41">
        <f>'план сент24'!AH15</f>
        <v>0</v>
      </c>
    </row>
    <row r="14" spans="2:13" ht="15.75" x14ac:dyDescent="0.25">
      <c r="B14" s="313"/>
      <c r="C14" s="312"/>
      <c r="D14" s="39" t="s">
        <v>19</v>
      </c>
      <c r="E14" s="41">
        <v>0</v>
      </c>
      <c r="F14" s="41">
        <v>0</v>
      </c>
      <c r="G14" s="41">
        <v>0</v>
      </c>
    </row>
    <row r="15" spans="2:13" ht="15.75" customHeight="1" x14ac:dyDescent="0.25">
      <c r="B15" s="313" t="s">
        <v>37</v>
      </c>
      <c r="C15" s="312" t="str">
        <f>'приложение 1'!C10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15" s="39" t="s">
        <v>16</v>
      </c>
      <c r="E15" s="41">
        <f>E17</f>
        <v>0</v>
      </c>
      <c r="F15" s="41">
        <f t="shared" ref="F15:G15" si="4">F17</f>
        <v>0</v>
      </c>
      <c r="G15" s="41">
        <f t="shared" si="4"/>
        <v>0</v>
      </c>
      <c r="M15" s="2"/>
    </row>
    <row r="16" spans="2:13" ht="15.75" x14ac:dyDescent="0.25">
      <c r="B16" s="313"/>
      <c r="C16" s="312"/>
      <c r="D16" s="39" t="s">
        <v>17</v>
      </c>
      <c r="E16" s="41">
        <v>0</v>
      </c>
      <c r="F16" s="41">
        <v>0</v>
      </c>
      <c r="G16" s="41">
        <v>0</v>
      </c>
    </row>
    <row r="17" spans="2:14" ht="15.75" x14ac:dyDescent="0.25">
      <c r="B17" s="313"/>
      <c r="C17" s="312"/>
      <c r="D17" s="39" t="s">
        <v>18</v>
      </c>
      <c r="E17" s="41">
        <f>'план сент24'!AF29</f>
        <v>0</v>
      </c>
      <c r="F17" s="41">
        <f>'план сент24'!O29</f>
        <v>0</v>
      </c>
      <c r="G17" s="41">
        <f>'план сент24'!AH29</f>
        <v>0</v>
      </c>
    </row>
    <row r="18" spans="2:14" ht="41.25" customHeight="1" x14ac:dyDescent="0.25">
      <c r="B18" s="313"/>
      <c r="C18" s="312"/>
      <c r="D18" s="39" t="s">
        <v>19</v>
      </c>
      <c r="E18" s="41">
        <v>0</v>
      </c>
      <c r="F18" s="41">
        <v>0</v>
      </c>
      <c r="G18" s="41">
        <v>0</v>
      </c>
    </row>
    <row r="19" spans="2:14" ht="15.75" x14ac:dyDescent="0.25">
      <c r="B19" s="313" t="s">
        <v>41</v>
      </c>
      <c r="C19" s="312" t="str">
        <f>'приложение 1'!C11</f>
        <v>Строительство, реконструкция и технологическое присоединение объектов жилищно-коммунального комплекса</v>
      </c>
      <c r="D19" s="39" t="s">
        <v>16</v>
      </c>
      <c r="E19" s="41">
        <f>E21</f>
        <v>204.12</v>
      </c>
      <c r="F19" s="41">
        <f t="shared" ref="F19:G19" si="5">F21</f>
        <v>134.85</v>
      </c>
      <c r="G19" s="41">
        <f t="shared" si="5"/>
        <v>134.85</v>
      </c>
    </row>
    <row r="20" spans="2:14" ht="15.75" x14ac:dyDescent="0.25">
      <c r="B20" s="313"/>
      <c r="C20" s="312"/>
      <c r="D20" s="39" t="s">
        <v>17</v>
      </c>
      <c r="E20" s="41">
        <v>0</v>
      </c>
      <c r="F20" s="41">
        <v>0</v>
      </c>
      <c r="G20" s="41">
        <v>0</v>
      </c>
      <c r="L20" s="2"/>
      <c r="M20" s="2"/>
      <c r="N20" s="2"/>
    </row>
    <row r="21" spans="2:14" ht="15.75" x14ac:dyDescent="0.25">
      <c r="B21" s="313"/>
      <c r="C21" s="312"/>
      <c r="D21" s="39" t="s">
        <v>18</v>
      </c>
      <c r="E21" s="41">
        <f>'план сент24'!AF33</f>
        <v>204.12</v>
      </c>
      <c r="F21" s="41">
        <f>G21</f>
        <v>134.85</v>
      </c>
      <c r="G21" s="41">
        <f>'план сент24'!AH33</f>
        <v>134.85</v>
      </c>
    </row>
    <row r="22" spans="2:14" ht="18.75" customHeight="1" x14ac:dyDescent="0.25">
      <c r="B22" s="313"/>
      <c r="C22" s="312"/>
      <c r="D22" s="39" t="s">
        <v>19</v>
      </c>
      <c r="E22" s="41">
        <v>0</v>
      </c>
      <c r="F22" s="41">
        <v>0</v>
      </c>
      <c r="G22" s="41">
        <v>0</v>
      </c>
    </row>
    <row r="23" spans="2:14" ht="15.75" x14ac:dyDescent="0.25">
      <c r="B23" s="313" t="s">
        <v>42</v>
      </c>
      <c r="C23" s="312" t="str">
        <f>'приложение 1'!C12</f>
        <v>Модернизация (расширение/развитие), капитальный и текущий ремонт, содержание объектов жилищно-коммунального комплекса</v>
      </c>
      <c r="D23" s="39" t="s">
        <v>16</v>
      </c>
      <c r="E23" s="41">
        <f>E25+E24</f>
        <v>80070.25</v>
      </c>
      <c r="F23" s="41">
        <f t="shared" ref="F23:G23" si="6">F25+F24</f>
        <v>60987.9</v>
      </c>
      <c r="G23" s="41">
        <f t="shared" si="6"/>
        <v>44536.84</v>
      </c>
      <c r="N23" s="2"/>
    </row>
    <row r="24" spans="2:14" ht="15.75" x14ac:dyDescent="0.25">
      <c r="B24" s="313"/>
      <c r="C24" s="312"/>
      <c r="D24" s="39" t="s">
        <v>17</v>
      </c>
      <c r="E24" s="41">
        <f>'план сент24'!AG39</f>
        <v>4574.7299999999996</v>
      </c>
      <c r="F24" s="41">
        <f>'план сент24'!AI42</f>
        <v>0</v>
      </c>
      <c r="G24" s="41">
        <f>F24</f>
        <v>0</v>
      </c>
    </row>
    <row r="25" spans="2:14" ht="15.75" x14ac:dyDescent="0.25">
      <c r="B25" s="313"/>
      <c r="C25" s="312"/>
      <c r="D25" s="39" t="s">
        <v>18</v>
      </c>
      <c r="E25" s="41">
        <f>'план сент24'!AF39-E24</f>
        <v>75495.520000000004</v>
      </c>
      <c r="F25" s="41">
        <f>'план сент24'!AH39-F24</f>
        <v>60987.9</v>
      </c>
      <c r="G25" s="41">
        <f>'план сент24'!AI40-G24</f>
        <v>44536.84</v>
      </c>
    </row>
    <row r="26" spans="2:14" ht="15.75" x14ac:dyDescent="0.25">
      <c r="B26" s="313"/>
      <c r="C26" s="312"/>
      <c r="D26" s="39" t="s">
        <v>19</v>
      </c>
      <c r="E26" s="41">
        <v>0</v>
      </c>
      <c r="F26" s="41">
        <v>0</v>
      </c>
      <c r="G26" s="41">
        <v>0</v>
      </c>
    </row>
    <row r="27" spans="2:14" ht="15.75" x14ac:dyDescent="0.25">
      <c r="B27" s="313" t="s">
        <v>43</v>
      </c>
      <c r="C27" s="312" t="s">
        <v>160</v>
      </c>
      <c r="D27" s="39" t="s">
        <v>16</v>
      </c>
      <c r="E27" s="41">
        <f>E29+E28</f>
        <v>51144.759999999995</v>
      </c>
      <c r="F27" s="41">
        <f t="shared" ref="F27:G27" si="7">F29</f>
        <v>0</v>
      </c>
      <c r="G27" s="41">
        <f t="shared" si="7"/>
        <v>0</v>
      </c>
    </row>
    <row r="28" spans="2:14" ht="15.75" x14ac:dyDescent="0.25">
      <c r="B28" s="313"/>
      <c r="C28" s="312"/>
      <c r="D28" s="39" t="s">
        <v>17</v>
      </c>
      <c r="E28" s="41">
        <f>'план сент24'!AG85</f>
        <v>41652.120000000003</v>
      </c>
      <c r="F28" s="41">
        <v>0</v>
      </c>
      <c r="G28" s="41">
        <v>0</v>
      </c>
    </row>
    <row r="29" spans="2:14" ht="15.75" x14ac:dyDescent="0.25">
      <c r="B29" s="313"/>
      <c r="C29" s="312"/>
      <c r="D29" s="39" t="s">
        <v>18</v>
      </c>
      <c r="E29" s="41">
        <f>'план сент24'!AF85-'план сент24'!AG85</f>
        <v>9492.6399999999921</v>
      </c>
      <c r="F29" s="41">
        <f>0</f>
        <v>0</v>
      </c>
      <c r="G29" s="41">
        <f>0</f>
        <v>0</v>
      </c>
    </row>
    <row r="30" spans="2:14" ht="15.75" x14ac:dyDescent="0.25">
      <c r="B30" s="313"/>
      <c r="C30" s="312"/>
      <c r="D30" s="39" t="s">
        <v>19</v>
      </c>
      <c r="E30" s="41">
        <v>0</v>
      </c>
      <c r="F30" s="41">
        <v>0</v>
      </c>
      <c r="G30" s="41">
        <v>0</v>
      </c>
    </row>
    <row r="31" spans="2:14" ht="15.75" hidden="1" x14ac:dyDescent="0.25">
      <c r="B31" s="313" t="s">
        <v>44</v>
      </c>
      <c r="C31" s="312" t="s">
        <v>158</v>
      </c>
      <c r="D31" s="39" t="s">
        <v>16</v>
      </c>
      <c r="E31" s="41">
        <v>0</v>
      </c>
      <c r="F31" s="41">
        <f t="shared" ref="F31" si="8">F33+F32</f>
        <v>0</v>
      </c>
      <c r="G31" s="41">
        <v>0</v>
      </c>
    </row>
    <row r="32" spans="2:14" ht="15.75" hidden="1" x14ac:dyDescent="0.25">
      <c r="B32" s="313"/>
      <c r="C32" s="312"/>
      <c r="D32" s="39" t="s">
        <v>17</v>
      </c>
      <c r="E32" s="41">
        <v>0</v>
      </c>
      <c r="F32" s="41">
        <f>'план сент24'!AI85</f>
        <v>0</v>
      </c>
      <c r="G32" s="41">
        <v>0</v>
      </c>
    </row>
    <row r="33" spans="2:9" ht="15.75" hidden="1" x14ac:dyDescent="0.25">
      <c r="B33" s="313"/>
      <c r="C33" s="312"/>
      <c r="D33" s="39" t="s">
        <v>18</v>
      </c>
      <c r="E33" s="41">
        <v>0</v>
      </c>
      <c r="F33" s="41">
        <f>'план сент24'!AH85-'план сент24'!AI85</f>
        <v>0</v>
      </c>
      <c r="G33" s="41">
        <v>0</v>
      </c>
    </row>
    <row r="34" spans="2:9" ht="12.75" hidden="1" customHeight="1" x14ac:dyDescent="0.25">
      <c r="B34" s="313"/>
      <c r="C34" s="312"/>
      <c r="D34" s="39" t="s">
        <v>19</v>
      </c>
      <c r="E34" s="41">
        <v>0</v>
      </c>
      <c r="F34" s="41">
        <v>0</v>
      </c>
      <c r="G34" s="41">
        <v>0</v>
      </c>
    </row>
    <row r="35" spans="2:9" ht="15.75" x14ac:dyDescent="0.25">
      <c r="B35" s="313" t="s">
        <v>45</v>
      </c>
      <c r="C35" s="312" t="str">
        <f>'приложение 1'!C18</f>
        <v>Обустройство мест массового отдыха</v>
      </c>
      <c r="D35" s="39" t="s">
        <v>16</v>
      </c>
      <c r="E35" s="41">
        <f>E37</f>
        <v>4490.03</v>
      </c>
      <c r="F35" s="41">
        <f t="shared" ref="F35:G35" si="9">F37</f>
        <v>0</v>
      </c>
      <c r="G35" s="41">
        <f t="shared" si="9"/>
        <v>0</v>
      </c>
    </row>
    <row r="36" spans="2:9" ht="15.75" x14ac:dyDescent="0.25">
      <c r="B36" s="313"/>
      <c r="C36" s="312"/>
      <c r="D36" s="39" t="s">
        <v>17</v>
      </c>
      <c r="E36" s="41">
        <v>0</v>
      </c>
      <c r="F36" s="41">
        <v>0</v>
      </c>
      <c r="G36" s="41">
        <v>0</v>
      </c>
    </row>
    <row r="37" spans="2:9" ht="15.75" x14ac:dyDescent="0.25">
      <c r="B37" s="313"/>
      <c r="C37" s="312"/>
      <c r="D37" s="39" t="s">
        <v>18</v>
      </c>
      <c r="E37" s="41">
        <f>'план сент24'!AF95</f>
        <v>4490.03</v>
      </c>
      <c r="F37" s="41">
        <f>'план сент24'!AH95</f>
        <v>0</v>
      </c>
      <c r="G37" s="41">
        <f>'план сент24'!AI95</f>
        <v>0</v>
      </c>
    </row>
    <row r="38" spans="2:9" ht="15.75" x14ac:dyDescent="0.25">
      <c r="B38" s="313"/>
      <c r="C38" s="312"/>
      <c r="D38" s="39" t="s">
        <v>19</v>
      </c>
      <c r="E38" s="41">
        <v>0</v>
      </c>
      <c r="F38" s="41">
        <v>0</v>
      </c>
      <c r="G38" s="41">
        <v>0</v>
      </c>
    </row>
    <row r="39" spans="2:9" ht="15.75" x14ac:dyDescent="0.25">
      <c r="B39" s="313" t="s">
        <v>46</v>
      </c>
      <c r="C39" s="312" t="str">
        <f>'приложение 1'!C19</f>
        <v>Содержание территорий общего пользования</v>
      </c>
      <c r="D39" s="39" t="s">
        <v>16</v>
      </c>
      <c r="E39" s="41">
        <f>E41+E40</f>
        <v>98146.34</v>
      </c>
      <c r="F39" s="41">
        <f t="shared" ref="F39:G39" si="10">F41</f>
        <v>45600.679999999993</v>
      </c>
      <c r="G39" s="41">
        <f t="shared" si="10"/>
        <v>45601.749999999993</v>
      </c>
    </row>
    <row r="40" spans="2:9" ht="15.75" x14ac:dyDescent="0.25">
      <c r="B40" s="313"/>
      <c r="C40" s="312"/>
      <c r="D40" s="39" t="s">
        <v>17</v>
      </c>
      <c r="E40" s="41">
        <f>'план сент24'!AG100</f>
        <v>5328.43</v>
      </c>
      <c r="F40" s="41">
        <v>0</v>
      </c>
      <c r="G40" s="41">
        <v>0</v>
      </c>
    </row>
    <row r="41" spans="2:9" ht="15" customHeight="1" x14ac:dyDescent="0.25">
      <c r="B41" s="313"/>
      <c r="C41" s="312"/>
      <c r="D41" s="39" t="s">
        <v>18</v>
      </c>
      <c r="E41" s="41">
        <f>'план сент24'!AF100-E40</f>
        <v>92817.91</v>
      </c>
      <c r="F41" s="41">
        <f>'план сент24'!AH100</f>
        <v>45600.679999999993</v>
      </c>
      <c r="G41" s="41">
        <f>'план сент24'!AI100</f>
        <v>45601.749999999993</v>
      </c>
    </row>
    <row r="42" spans="2:9" ht="15.75" x14ac:dyDescent="0.25">
      <c r="B42" s="313"/>
      <c r="C42" s="312"/>
      <c r="D42" s="39" t="s">
        <v>19</v>
      </c>
      <c r="E42" s="41">
        <v>0</v>
      </c>
      <c r="F42" s="41">
        <v>0</v>
      </c>
      <c r="G42" s="41">
        <v>0</v>
      </c>
    </row>
    <row r="43" spans="2:9" ht="15.75" x14ac:dyDescent="0.25">
      <c r="B43" s="313" t="s">
        <v>56</v>
      </c>
      <c r="C43" s="312" t="str">
        <f>'приложение 1'!C20</f>
        <v>Организация и содержание общественных городских кладбищ (мест погребения)</v>
      </c>
      <c r="D43" s="39" t="s">
        <v>16</v>
      </c>
      <c r="E43" s="41">
        <f>E45</f>
        <v>6041.22</v>
      </c>
      <c r="F43" s="41">
        <f t="shared" ref="F43:G43" si="11">F45</f>
        <v>3103.9</v>
      </c>
      <c r="G43" s="41">
        <f t="shared" si="11"/>
        <v>3103.9</v>
      </c>
    </row>
    <row r="44" spans="2:9" ht="15.75" x14ac:dyDescent="0.25">
      <c r="B44" s="313"/>
      <c r="C44" s="312"/>
      <c r="D44" s="39" t="s">
        <v>17</v>
      </c>
      <c r="E44" s="41">
        <v>0</v>
      </c>
      <c r="F44" s="41">
        <v>0</v>
      </c>
      <c r="G44" s="41">
        <v>0</v>
      </c>
    </row>
    <row r="45" spans="2:9" ht="15.75" x14ac:dyDescent="0.25">
      <c r="B45" s="313"/>
      <c r="C45" s="312"/>
      <c r="D45" s="39" t="s">
        <v>18</v>
      </c>
      <c r="E45" s="41">
        <f>'план сент24'!AF172</f>
        <v>6041.22</v>
      </c>
      <c r="F45" s="41">
        <f>'план сент24'!AH172</f>
        <v>3103.9</v>
      </c>
      <c r="G45" s="41">
        <f>'план сент24'!AI172</f>
        <v>3103.9</v>
      </c>
    </row>
    <row r="46" spans="2:9" ht="15.75" x14ac:dyDescent="0.25">
      <c r="B46" s="313"/>
      <c r="C46" s="312"/>
      <c r="D46" s="39" t="s">
        <v>19</v>
      </c>
      <c r="E46" s="41">
        <v>0</v>
      </c>
      <c r="F46" s="41">
        <v>0</v>
      </c>
      <c r="G46" s="41">
        <v>0</v>
      </c>
    </row>
    <row r="47" spans="2:9" ht="15.75" x14ac:dyDescent="0.25">
      <c r="B47" s="324" t="s">
        <v>123</v>
      </c>
      <c r="C47" s="317" t="str">
        <f>'приложение 1'!C24</f>
        <v>Содержание зеленых насаждений на территориях общего пользования и зеленых зонах, муниципальных земельных участках</v>
      </c>
      <c r="D47" s="39" t="s">
        <v>16</v>
      </c>
      <c r="E47" s="41">
        <f>E49</f>
        <v>12510.63</v>
      </c>
      <c r="F47" s="41">
        <f t="shared" ref="F47:G47" si="12">F49</f>
        <v>10849.51</v>
      </c>
      <c r="G47" s="41">
        <f t="shared" si="12"/>
        <v>10849.51</v>
      </c>
    </row>
    <row r="48" spans="2:9" ht="15.75" x14ac:dyDescent="0.25">
      <c r="B48" s="325"/>
      <c r="C48" s="318"/>
      <c r="D48" s="39" t="s">
        <v>17</v>
      </c>
      <c r="E48" s="41">
        <v>0</v>
      </c>
      <c r="F48" s="41">
        <v>0</v>
      </c>
      <c r="G48" s="41">
        <v>0</v>
      </c>
      <c r="I48" s="2"/>
    </row>
    <row r="49" spans="2:12" ht="15.75" x14ac:dyDescent="0.25">
      <c r="B49" s="325"/>
      <c r="C49" s="318"/>
      <c r="D49" s="39" t="s">
        <v>18</v>
      </c>
      <c r="E49" s="41">
        <f>'план сент24'!AF191</f>
        <v>12510.63</v>
      </c>
      <c r="F49" s="41">
        <f>'план сент24'!AH191</f>
        <v>10849.51</v>
      </c>
      <c r="G49" s="41">
        <f>'план сент24'!AI191</f>
        <v>10849.51</v>
      </c>
    </row>
    <row r="50" spans="2:12" ht="15.75" x14ac:dyDescent="0.25">
      <c r="B50" s="326"/>
      <c r="C50" s="319"/>
      <c r="D50" s="39" t="s">
        <v>19</v>
      </c>
      <c r="E50" s="41">
        <v>0</v>
      </c>
      <c r="F50" s="41">
        <v>0</v>
      </c>
      <c r="G50" s="41">
        <v>0</v>
      </c>
    </row>
    <row r="51" spans="2:12" ht="15.75" hidden="1" x14ac:dyDescent="0.25">
      <c r="B51" s="324" t="s">
        <v>193</v>
      </c>
      <c r="C51" s="317" t="str">
        <f>'приложение 1'!C25</f>
        <v>Содержание городских лесов</v>
      </c>
      <c r="D51" s="39" t="s">
        <v>16</v>
      </c>
      <c r="E51" s="41">
        <v>0</v>
      </c>
      <c r="F51" s="41">
        <v>0</v>
      </c>
      <c r="G51" s="41">
        <v>0</v>
      </c>
    </row>
    <row r="52" spans="2:12" ht="15.75" hidden="1" x14ac:dyDescent="0.25">
      <c r="B52" s="325"/>
      <c r="C52" s="318"/>
      <c r="D52" s="39" t="s">
        <v>17</v>
      </c>
      <c r="E52" s="41">
        <v>0</v>
      </c>
      <c r="F52" s="41">
        <v>0</v>
      </c>
      <c r="G52" s="41">
        <v>0</v>
      </c>
    </row>
    <row r="53" spans="2:12" ht="15.75" hidden="1" x14ac:dyDescent="0.25">
      <c r="B53" s="325"/>
      <c r="C53" s="318"/>
      <c r="D53" s="39" t="s">
        <v>18</v>
      </c>
      <c r="E53" s="41">
        <v>0</v>
      </c>
      <c r="F53" s="41">
        <v>0</v>
      </c>
      <c r="G53" s="41">
        <v>0</v>
      </c>
    </row>
    <row r="54" spans="2:12" ht="15.75" hidden="1" x14ac:dyDescent="0.25">
      <c r="B54" s="326"/>
      <c r="C54" s="319"/>
      <c r="D54" s="39" t="s">
        <v>19</v>
      </c>
      <c r="E54" s="41">
        <v>0</v>
      </c>
      <c r="F54" s="41">
        <v>0</v>
      </c>
      <c r="G54" s="41">
        <v>0</v>
      </c>
    </row>
    <row r="55" spans="2:12" ht="15.75" x14ac:dyDescent="0.25">
      <c r="B55" s="323" t="s">
        <v>107</v>
      </c>
      <c r="C55" s="323"/>
      <c r="D55" s="39" t="s">
        <v>16</v>
      </c>
      <c r="E55" s="41">
        <f>E59+E67+E63+E71+E75+E79+E83+E87+E91+E95</f>
        <v>248707.24</v>
      </c>
      <c r="F55" s="41">
        <f t="shared" ref="E55:G56" si="13">F59+F67+F63+F71+F75+F79+F83+F87+F91+F95</f>
        <v>120541.98999999998</v>
      </c>
      <c r="G55" s="41">
        <f t="shared" si="13"/>
        <v>104091.99999999999</v>
      </c>
      <c r="J55" s="2"/>
      <c r="K55" s="2"/>
      <c r="L55" s="2"/>
    </row>
    <row r="56" spans="2:12" ht="15.75" x14ac:dyDescent="0.25">
      <c r="B56" s="323"/>
      <c r="C56" s="323"/>
      <c r="D56" s="39" t="s">
        <v>17</v>
      </c>
      <c r="E56" s="41">
        <f t="shared" si="13"/>
        <v>51555.280000000006</v>
      </c>
      <c r="F56" s="41">
        <f t="shared" si="13"/>
        <v>0</v>
      </c>
      <c r="G56" s="41">
        <f t="shared" si="13"/>
        <v>0</v>
      </c>
      <c r="J56" s="2"/>
      <c r="K56" s="2"/>
      <c r="L56" s="2"/>
    </row>
    <row r="57" spans="2:12" ht="15.75" x14ac:dyDescent="0.25">
      <c r="B57" s="323"/>
      <c r="C57" s="323"/>
      <c r="D57" s="39" t="s">
        <v>18</v>
      </c>
      <c r="E57" s="41">
        <f>E61+E69+E65+E73+E77+E81+E85+E89+E93+E97</f>
        <v>197151.96</v>
      </c>
      <c r="F57" s="41">
        <f t="shared" ref="F57:G57" si="14">F61+F69+F65+F73+F77+F81+F85+F89+F93+F97</f>
        <v>120541.98999999998</v>
      </c>
      <c r="G57" s="41">
        <f t="shared" si="14"/>
        <v>104091.99999999999</v>
      </c>
    </row>
    <row r="58" spans="2:12" ht="15.75" x14ac:dyDescent="0.25">
      <c r="B58" s="323"/>
      <c r="C58" s="323"/>
      <c r="D58" s="39" t="s">
        <v>19</v>
      </c>
      <c r="E58" s="41">
        <f t="shared" ref="E58:G58" si="15">E62+E70+E66+E74+E78+E82+E86+E90+E94</f>
        <v>0</v>
      </c>
      <c r="F58" s="41">
        <f t="shared" si="15"/>
        <v>0</v>
      </c>
      <c r="G58" s="41">
        <f t="shared" si="15"/>
        <v>0</v>
      </c>
    </row>
    <row r="59" spans="2:12" ht="15.75" customHeight="1" x14ac:dyDescent="0.25">
      <c r="B59" s="313" t="s">
        <v>36</v>
      </c>
      <c r="C59" s="312" t="str">
        <f>C11</f>
        <v>Разработка стратегической и технической документации в отношении объектов жилищно-коммунального комплекса</v>
      </c>
      <c r="D59" s="39" t="s">
        <v>16</v>
      </c>
      <c r="E59" s="41">
        <f>E61</f>
        <v>1550</v>
      </c>
      <c r="F59" s="41">
        <f t="shared" ref="F59:G59" si="16">F61</f>
        <v>0</v>
      </c>
      <c r="G59" s="41">
        <f t="shared" si="16"/>
        <v>0</v>
      </c>
    </row>
    <row r="60" spans="2:12" ht="15.75" x14ac:dyDescent="0.25">
      <c r="B60" s="313"/>
      <c r="C60" s="312"/>
      <c r="D60" s="39" t="s">
        <v>17</v>
      </c>
      <c r="E60" s="41">
        <v>0</v>
      </c>
      <c r="F60" s="41">
        <v>0</v>
      </c>
      <c r="G60" s="41">
        <v>0</v>
      </c>
      <c r="I60" s="2"/>
    </row>
    <row r="61" spans="2:12" ht="15.75" x14ac:dyDescent="0.25">
      <c r="B61" s="313"/>
      <c r="C61" s="312"/>
      <c r="D61" s="39" t="s">
        <v>18</v>
      </c>
      <c r="E61" s="41">
        <f>'план сент24'!AF15</f>
        <v>1550</v>
      </c>
      <c r="F61" s="41">
        <f>'план сент24'!AH15</f>
        <v>0</v>
      </c>
      <c r="G61" s="41">
        <f>'план сент24'!AI15</f>
        <v>0</v>
      </c>
    </row>
    <row r="62" spans="2:12" ht="15.75" x14ac:dyDescent="0.25">
      <c r="B62" s="313"/>
      <c r="C62" s="312"/>
      <c r="D62" s="39" t="s">
        <v>19</v>
      </c>
      <c r="E62" s="41">
        <v>0</v>
      </c>
      <c r="F62" s="41">
        <v>0</v>
      </c>
      <c r="G62" s="41">
        <v>0</v>
      </c>
    </row>
    <row r="63" spans="2:12" ht="15.75" hidden="1" customHeight="1" x14ac:dyDescent="0.25">
      <c r="B63" s="313" t="s">
        <v>37</v>
      </c>
      <c r="C63" s="312" t="str">
        <f>C15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63" s="39" t="s">
        <v>16</v>
      </c>
      <c r="E63" s="41">
        <f>E65</f>
        <v>0</v>
      </c>
      <c r="F63" s="41">
        <f t="shared" ref="F63:G63" si="17">F65</f>
        <v>0</v>
      </c>
      <c r="G63" s="41">
        <f t="shared" si="17"/>
        <v>0</v>
      </c>
    </row>
    <row r="64" spans="2:12" ht="15.75" hidden="1" x14ac:dyDescent="0.25">
      <c r="B64" s="313"/>
      <c r="C64" s="312"/>
      <c r="D64" s="39" t="s">
        <v>17</v>
      </c>
      <c r="E64" s="41">
        <v>0</v>
      </c>
      <c r="F64" s="41">
        <v>0</v>
      </c>
      <c r="G64" s="41">
        <v>0</v>
      </c>
    </row>
    <row r="65" spans="2:7" ht="15.75" hidden="1" x14ac:dyDescent="0.25">
      <c r="B65" s="313"/>
      <c r="C65" s="312"/>
      <c r="D65" s="39" t="s">
        <v>18</v>
      </c>
      <c r="E65" s="41">
        <v>0</v>
      </c>
      <c r="F65" s="41">
        <v>0</v>
      </c>
      <c r="G65" s="41">
        <v>0</v>
      </c>
    </row>
    <row r="66" spans="2:7" ht="15.75" hidden="1" x14ac:dyDescent="0.25">
      <c r="B66" s="313"/>
      <c r="C66" s="312"/>
      <c r="D66" s="39" t="s">
        <v>19</v>
      </c>
      <c r="E66" s="41">
        <v>0</v>
      </c>
      <c r="F66" s="41">
        <v>0</v>
      </c>
      <c r="G66" s="41">
        <v>0</v>
      </c>
    </row>
    <row r="67" spans="2:7" ht="15.75" hidden="1" x14ac:dyDescent="0.25">
      <c r="B67" s="313" t="s">
        <v>41</v>
      </c>
      <c r="C67" s="312" t="str">
        <f>C19</f>
        <v>Строительство, реконструкция и технологическое присоединение объектов жилищно-коммунального комплекса</v>
      </c>
      <c r="D67" s="39" t="s">
        <v>16</v>
      </c>
      <c r="E67" s="41">
        <f>E69</f>
        <v>0</v>
      </c>
      <c r="F67" s="41">
        <f>F69</f>
        <v>0</v>
      </c>
      <c r="G67" s="41">
        <f t="shared" ref="G67" si="18">G69</f>
        <v>0</v>
      </c>
    </row>
    <row r="68" spans="2:7" ht="15.75" hidden="1" x14ac:dyDescent="0.25">
      <c r="B68" s="313"/>
      <c r="C68" s="312"/>
      <c r="D68" s="39" t="s">
        <v>17</v>
      </c>
      <c r="E68" s="41">
        <v>0</v>
      </c>
      <c r="F68" s="41">
        <v>0</v>
      </c>
      <c r="G68" s="41">
        <v>0</v>
      </c>
    </row>
    <row r="69" spans="2:7" ht="19.5" hidden="1" customHeight="1" x14ac:dyDescent="0.25">
      <c r="B69" s="313"/>
      <c r="C69" s="312"/>
      <c r="D69" s="39" t="s">
        <v>18</v>
      </c>
      <c r="E69" s="41">
        <v>0</v>
      </c>
      <c r="F69" s="41">
        <v>0</v>
      </c>
      <c r="G69" s="41">
        <v>0</v>
      </c>
    </row>
    <row r="70" spans="2:7" ht="25.5" hidden="1" customHeight="1" x14ac:dyDescent="0.25">
      <c r="B70" s="313"/>
      <c r="C70" s="312"/>
      <c r="D70" s="39" t="s">
        <v>19</v>
      </c>
      <c r="E70" s="41">
        <v>0</v>
      </c>
      <c r="F70" s="41">
        <v>0</v>
      </c>
      <c r="G70" s="41">
        <v>0</v>
      </c>
    </row>
    <row r="71" spans="2:7" ht="15.75" x14ac:dyDescent="0.25">
      <c r="B71" s="313" t="s">
        <v>42</v>
      </c>
      <c r="C71" s="312" t="str">
        <f>C23</f>
        <v>Модернизация (расширение/развитие), капитальный и текущий ремонт, содержание объектов жилищно-коммунального комплекса</v>
      </c>
      <c r="D71" s="39" t="s">
        <v>16</v>
      </c>
      <c r="E71" s="41">
        <f>E73+E72</f>
        <v>80070.25</v>
      </c>
      <c r="F71" s="41">
        <f t="shared" ref="F71:G71" si="19">F73</f>
        <v>60987.9</v>
      </c>
      <c r="G71" s="41">
        <f t="shared" si="19"/>
        <v>44536.84</v>
      </c>
    </row>
    <row r="72" spans="2:7" ht="15.75" x14ac:dyDescent="0.25">
      <c r="B72" s="313"/>
      <c r="C72" s="312"/>
      <c r="D72" s="39" t="s">
        <v>17</v>
      </c>
      <c r="E72" s="41">
        <f>'план сент24'!AG40</f>
        <v>4574.7299999999996</v>
      </c>
      <c r="F72" s="41">
        <v>0</v>
      </c>
      <c r="G72" s="41">
        <v>0</v>
      </c>
    </row>
    <row r="73" spans="2:7" ht="15.75" x14ac:dyDescent="0.25">
      <c r="B73" s="313"/>
      <c r="C73" s="312"/>
      <c r="D73" s="39" t="s">
        <v>18</v>
      </c>
      <c r="E73" s="41">
        <f>'план сент24'!AF39-E72</f>
        <v>75495.520000000004</v>
      </c>
      <c r="F73" s="41">
        <f>'план сент24'!AH39</f>
        <v>60987.9</v>
      </c>
      <c r="G73" s="41">
        <f>'план сент24'!AI39</f>
        <v>44536.84</v>
      </c>
    </row>
    <row r="74" spans="2:7" ht="24.75" customHeight="1" x14ac:dyDescent="0.25">
      <c r="B74" s="313"/>
      <c r="C74" s="312"/>
      <c r="D74" s="39" t="s">
        <v>19</v>
      </c>
      <c r="E74" s="41">
        <v>0</v>
      </c>
      <c r="F74" s="41">
        <v>0</v>
      </c>
      <c r="G74" s="41">
        <v>0</v>
      </c>
    </row>
    <row r="75" spans="2:7" ht="15.75" x14ac:dyDescent="0.25">
      <c r="B75" s="313" t="s">
        <v>43</v>
      </c>
      <c r="C75" s="312" t="str">
        <f>C27</f>
        <v>Благоустройство общественных территорий</v>
      </c>
      <c r="D75" s="39" t="s">
        <v>16</v>
      </c>
      <c r="E75" s="41">
        <f>E27</f>
        <v>51144.759999999995</v>
      </c>
      <c r="F75" s="41">
        <f t="shared" ref="F75:G75" si="20">F77</f>
        <v>0</v>
      </c>
      <c r="G75" s="41">
        <f t="shared" si="20"/>
        <v>0</v>
      </c>
    </row>
    <row r="76" spans="2:7" ht="15.75" x14ac:dyDescent="0.25">
      <c r="B76" s="313"/>
      <c r="C76" s="312"/>
      <c r="D76" s="39" t="s">
        <v>17</v>
      </c>
      <c r="E76" s="41">
        <f t="shared" ref="E76:E77" si="21">E28</f>
        <v>41652.120000000003</v>
      </c>
      <c r="F76" s="41">
        <v>0</v>
      </c>
      <c r="G76" s="41">
        <v>0</v>
      </c>
    </row>
    <row r="77" spans="2:7" ht="15.75" x14ac:dyDescent="0.25">
      <c r="B77" s="313"/>
      <c r="C77" s="312"/>
      <c r="D77" s="39" t="s">
        <v>18</v>
      </c>
      <c r="E77" s="41">
        <f t="shared" si="21"/>
        <v>9492.6399999999921</v>
      </c>
      <c r="F77" s="41">
        <v>0</v>
      </c>
      <c r="G77" s="41">
        <v>0</v>
      </c>
    </row>
    <row r="78" spans="2:7" ht="15.75" x14ac:dyDescent="0.25">
      <c r="B78" s="313"/>
      <c r="C78" s="312"/>
      <c r="D78" s="39" t="s">
        <v>19</v>
      </c>
      <c r="E78" s="41">
        <v>0</v>
      </c>
      <c r="F78" s="41">
        <v>0</v>
      </c>
      <c r="G78" s="41">
        <v>0</v>
      </c>
    </row>
    <row r="79" spans="2:7" ht="15.75" hidden="1" x14ac:dyDescent="0.25">
      <c r="B79" s="313" t="s">
        <v>44</v>
      </c>
      <c r="C79" s="323" t="s">
        <v>160</v>
      </c>
      <c r="D79" s="39" t="s">
        <v>16</v>
      </c>
      <c r="E79" s="41">
        <f>E81</f>
        <v>0</v>
      </c>
      <c r="F79" s="41">
        <f t="shared" ref="F79:G79" si="22">F81</f>
        <v>0</v>
      </c>
      <c r="G79" s="41">
        <f t="shared" si="22"/>
        <v>0</v>
      </c>
    </row>
    <row r="80" spans="2:7" ht="15.75" hidden="1" x14ac:dyDescent="0.25">
      <c r="B80" s="313"/>
      <c r="C80" s="312"/>
      <c r="D80" s="39" t="s">
        <v>17</v>
      </c>
      <c r="E80" s="41">
        <v>0</v>
      </c>
      <c r="F80" s="41">
        <v>0</v>
      </c>
      <c r="G80" s="41">
        <v>0</v>
      </c>
    </row>
    <row r="81" spans="2:7" ht="15.75" hidden="1" x14ac:dyDescent="0.25">
      <c r="B81" s="313"/>
      <c r="C81" s="312"/>
      <c r="D81" s="39" t="s">
        <v>18</v>
      </c>
      <c r="E81" s="41">
        <v>0</v>
      </c>
      <c r="F81" s="41">
        <f>'план сент24'!AH85</f>
        <v>0</v>
      </c>
      <c r="G81" s="41">
        <f>'план сент24'!AI85</f>
        <v>0</v>
      </c>
    </row>
    <row r="82" spans="2:7" ht="15.75" hidden="1" x14ac:dyDescent="0.25">
      <c r="B82" s="313"/>
      <c r="C82" s="312"/>
      <c r="D82" s="39" t="s">
        <v>19</v>
      </c>
      <c r="E82" s="41">
        <v>0</v>
      </c>
      <c r="F82" s="41">
        <v>0</v>
      </c>
      <c r="G82" s="41">
        <v>0</v>
      </c>
    </row>
    <row r="83" spans="2:7" ht="15.75" x14ac:dyDescent="0.25">
      <c r="B83" s="313" t="s">
        <v>45</v>
      </c>
      <c r="C83" s="312" t="str">
        <f>C35</f>
        <v>Обустройство мест массового отдыха</v>
      </c>
      <c r="D83" s="39" t="s">
        <v>16</v>
      </c>
      <c r="E83" s="41">
        <f>E85</f>
        <v>250</v>
      </c>
      <c r="F83" s="41">
        <f t="shared" ref="F83:G83" si="23">F85</f>
        <v>0</v>
      </c>
      <c r="G83" s="41">
        <f t="shared" si="23"/>
        <v>0</v>
      </c>
    </row>
    <row r="84" spans="2:7" ht="15.75" x14ac:dyDescent="0.25">
      <c r="B84" s="313"/>
      <c r="C84" s="312"/>
      <c r="D84" s="39" t="s">
        <v>17</v>
      </c>
      <c r="E84" s="41">
        <v>0</v>
      </c>
      <c r="F84" s="41">
        <v>0</v>
      </c>
      <c r="G84" s="41">
        <v>0</v>
      </c>
    </row>
    <row r="85" spans="2:7" ht="15.75" x14ac:dyDescent="0.25">
      <c r="B85" s="313"/>
      <c r="C85" s="312"/>
      <c r="D85" s="39" t="s">
        <v>18</v>
      </c>
      <c r="E85" s="41">
        <f>'план сент24'!AF99</f>
        <v>250</v>
      </c>
      <c r="F85" s="41">
        <f>'план сент24'!AH99</f>
        <v>0</v>
      </c>
      <c r="G85" s="41">
        <f>'план сент24'!AI99</f>
        <v>0</v>
      </c>
    </row>
    <row r="86" spans="2:7" ht="15.75" x14ac:dyDescent="0.25">
      <c r="B86" s="313"/>
      <c r="C86" s="312"/>
      <c r="D86" s="39" t="s">
        <v>19</v>
      </c>
      <c r="E86" s="41">
        <v>0</v>
      </c>
      <c r="F86" s="41">
        <v>0</v>
      </c>
      <c r="G86" s="41">
        <v>0</v>
      </c>
    </row>
    <row r="87" spans="2:7" ht="15.75" x14ac:dyDescent="0.25">
      <c r="B87" s="313" t="s">
        <v>46</v>
      </c>
      <c r="C87" s="312" t="str">
        <f>C39</f>
        <v>Содержание территорий общего пользования</v>
      </c>
      <c r="D87" s="39" t="s">
        <v>16</v>
      </c>
      <c r="E87" s="41">
        <f>E89+E88</f>
        <v>97140.379999999976</v>
      </c>
      <c r="F87" s="41">
        <f t="shared" ref="F87:G87" si="24">F89</f>
        <v>45600.679999999993</v>
      </c>
      <c r="G87" s="41">
        <f t="shared" si="24"/>
        <v>45601.749999999993</v>
      </c>
    </row>
    <row r="88" spans="2:7" ht="15.75" x14ac:dyDescent="0.25">
      <c r="B88" s="313"/>
      <c r="C88" s="312"/>
      <c r="D88" s="39" t="s">
        <v>17</v>
      </c>
      <c r="E88" s="41">
        <f>'план сент24'!AG100</f>
        <v>5328.43</v>
      </c>
      <c r="F88" s="41">
        <v>0</v>
      </c>
      <c r="G88" s="41">
        <v>0</v>
      </c>
    </row>
    <row r="89" spans="2:7" ht="15" customHeight="1" x14ac:dyDescent="0.25">
      <c r="B89" s="313"/>
      <c r="C89" s="312"/>
      <c r="D89" s="39" t="s">
        <v>18</v>
      </c>
      <c r="E89" s="41">
        <f>'план сент24'!AF100-'план сент24'!AF153-'план сент24'!AG100</f>
        <v>91811.949999999983</v>
      </c>
      <c r="F89" s="41">
        <f>'план сент24'!AH100</f>
        <v>45600.679999999993</v>
      </c>
      <c r="G89" s="41">
        <f>'план сент24'!AI100</f>
        <v>45601.749999999993</v>
      </c>
    </row>
    <row r="90" spans="2:7" ht="15.75" x14ac:dyDescent="0.25">
      <c r="B90" s="313"/>
      <c r="C90" s="312"/>
      <c r="D90" s="39" t="s">
        <v>19</v>
      </c>
      <c r="E90" s="41">
        <v>0</v>
      </c>
      <c r="F90" s="41">
        <v>0</v>
      </c>
      <c r="G90" s="41">
        <v>0</v>
      </c>
    </row>
    <row r="91" spans="2:7" ht="15.75" x14ac:dyDescent="0.25">
      <c r="B91" s="313" t="s">
        <v>56</v>
      </c>
      <c r="C91" s="327" t="str">
        <f>C43</f>
        <v>Организация и содержание общественных городских кладбищ (мест погребения)</v>
      </c>
      <c r="D91" s="39" t="s">
        <v>16</v>
      </c>
      <c r="E91" s="41">
        <f>E93</f>
        <v>6041.22</v>
      </c>
      <c r="F91" s="41">
        <f t="shared" ref="F91:G91" si="25">F93</f>
        <v>3103.9</v>
      </c>
      <c r="G91" s="41">
        <f t="shared" si="25"/>
        <v>3103.9</v>
      </c>
    </row>
    <row r="92" spans="2:7" ht="15.75" x14ac:dyDescent="0.25">
      <c r="B92" s="313"/>
      <c r="C92" s="327"/>
      <c r="D92" s="39" t="s">
        <v>17</v>
      </c>
      <c r="E92" s="41">
        <v>0</v>
      </c>
      <c r="F92" s="41">
        <v>0</v>
      </c>
      <c r="G92" s="41">
        <v>0</v>
      </c>
    </row>
    <row r="93" spans="2:7" ht="15.75" x14ac:dyDescent="0.25">
      <c r="B93" s="313"/>
      <c r="C93" s="327"/>
      <c r="D93" s="39" t="s">
        <v>18</v>
      </c>
      <c r="E93" s="41">
        <f>'план сент24'!AF172</f>
        <v>6041.22</v>
      </c>
      <c r="F93" s="41">
        <f>'план сент24'!AH172</f>
        <v>3103.9</v>
      </c>
      <c r="G93" s="41">
        <f>'план сент24'!AI172</f>
        <v>3103.9</v>
      </c>
    </row>
    <row r="94" spans="2:7" ht="15.75" x14ac:dyDescent="0.25">
      <c r="B94" s="313"/>
      <c r="C94" s="327"/>
      <c r="D94" s="39" t="s">
        <v>19</v>
      </c>
      <c r="E94" s="41">
        <v>0</v>
      </c>
      <c r="F94" s="41">
        <v>0</v>
      </c>
      <c r="G94" s="41">
        <v>0</v>
      </c>
    </row>
    <row r="95" spans="2:7" ht="15.75" x14ac:dyDescent="0.25">
      <c r="B95" s="324" t="s">
        <v>123</v>
      </c>
      <c r="C95" s="329" t="str">
        <f>C47</f>
        <v>Содержание зеленых насаждений на территориях общего пользования и зеленых зонах, муниципальных земельных участках</v>
      </c>
      <c r="D95" s="39" t="s">
        <v>16</v>
      </c>
      <c r="E95" s="41">
        <f>E97</f>
        <v>12510.63</v>
      </c>
      <c r="F95" s="41">
        <f t="shared" ref="F95:G95" si="26">F97</f>
        <v>10849.51</v>
      </c>
      <c r="G95" s="41">
        <f t="shared" si="26"/>
        <v>10849.51</v>
      </c>
    </row>
    <row r="96" spans="2:7" ht="15.75" x14ac:dyDescent="0.25">
      <c r="B96" s="325"/>
      <c r="C96" s="330"/>
      <c r="D96" s="39" t="s">
        <v>17</v>
      </c>
      <c r="E96" s="41">
        <v>0</v>
      </c>
      <c r="F96" s="41">
        <v>0</v>
      </c>
      <c r="G96" s="41">
        <v>0</v>
      </c>
    </row>
    <row r="97" spans="2:9" ht="15.75" x14ac:dyDescent="0.25">
      <c r="B97" s="325"/>
      <c r="C97" s="330"/>
      <c r="D97" s="39" t="s">
        <v>18</v>
      </c>
      <c r="E97" s="41">
        <f>'план сент24'!AF193</f>
        <v>12510.63</v>
      </c>
      <c r="F97" s="41">
        <f>'план сент24'!AH193</f>
        <v>10849.51</v>
      </c>
      <c r="G97" s="41">
        <f>'план сент24'!AI193</f>
        <v>10849.51</v>
      </c>
    </row>
    <row r="98" spans="2:9" ht="15.75" x14ac:dyDescent="0.25">
      <c r="B98" s="326"/>
      <c r="C98" s="331"/>
      <c r="D98" s="39" t="s">
        <v>19</v>
      </c>
      <c r="E98" s="41">
        <v>0</v>
      </c>
      <c r="F98" s="41">
        <v>0</v>
      </c>
      <c r="G98" s="41">
        <v>0</v>
      </c>
    </row>
    <row r="99" spans="2:9" ht="15.75" hidden="1" x14ac:dyDescent="0.25">
      <c r="B99" s="324" t="s">
        <v>193</v>
      </c>
      <c r="C99" s="329" t="str">
        <f>C51</f>
        <v>Содержание городских лесов</v>
      </c>
      <c r="D99" s="39" t="s">
        <v>16</v>
      </c>
      <c r="E99" s="41">
        <v>0</v>
      </c>
      <c r="F99" s="41">
        <v>0</v>
      </c>
      <c r="G99" s="41">
        <v>0</v>
      </c>
    </row>
    <row r="100" spans="2:9" ht="15.75" hidden="1" x14ac:dyDescent="0.25">
      <c r="B100" s="325"/>
      <c r="C100" s="330"/>
      <c r="D100" s="39" t="s">
        <v>17</v>
      </c>
      <c r="E100" s="41">
        <v>0</v>
      </c>
      <c r="F100" s="41">
        <v>0</v>
      </c>
      <c r="G100" s="41">
        <v>0</v>
      </c>
    </row>
    <row r="101" spans="2:9" ht="15.75" hidden="1" x14ac:dyDescent="0.25">
      <c r="B101" s="325"/>
      <c r="C101" s="330"/>
      <c r="D101" s="39" t="s">
        <v>18</v>
      </c>
      <c r="E101" s="41">
        <v>0</v>
      </c>
      <c r="F101" s="41">
        <v>0</v>
      </c>
      <c r="G101" s="41">
        <v>0</v>
      </c>
    </row>
    <row r="102" spans="2:9" ht="15.75" hidden="1" x14ac:dyDescent="0.25">
      <c r="B102" s="326"/>
      <c r="C102" s="331"/>
      <c r="D102" s="39" t="s">
        <v>19</v>
      </c>
      <c r="E102" s="41">
        <v>0</v>
      </c>
      <c r="F102" s="41">
        <v>0</v>
      </c>
      <c r="G102" s="41">
        <v>0</v>
      </c>
    </row>
    <row r="103" spans="2:9" ht="15.75" x14ac:dyDescent="0.25">
      <c r="B103" s="312" t="s">
        <v>127</v>
      </c>
      <c r="C103" s="312"/>
      <c r="D103" s="65" t="s">
        <v>16</v>
      </c>
      <c r="E103" s="66">
        <f t="shared" ref="E103:G104" si="27">E107+E111+E115</f>
        <v>3655.98</v>
      </c>
      <c r="F103" s="66">
        <f t="shared" si="27"/>
        <v>0</v>
      </c>
      <c r="G103" s="66">
        <f t="shared" si="27"/>
        <v>0</v>
      </c>
    </row>
    <row r="104" spans="2:9" ht="15.75" x14ac:dyDescent="0.25">
      <c r="B104" s="312"/>
      <c r="C104" s="312"/>
      <c r="D104" s="65" t="s">
        <v>17</v>
      </c>
      <c r="E104" s="66">
        <f t="shared" si="27"/>
        <v>0</v>
      </c>
      <c r="F104" s="66">
        <f t="shared" si="27"/>
        <v>0</v>
      </c>
      <c r="G104" s="66">
        <f t="shared" si="27"/>
        <v>0</v>
      </c>
    </row>
    <row r="105" spans="2:9" ht="15.75" x14ac:dyDescent="0.25">
      <c r="B105" s="312"/>
      <c r="C105" s="312"/>
      <c r="D105" s="65" t="s">
        <v>18</v>
      </c>
      <c r="E105" s="66">
        <f>E109+E113+E117</f>
        <v>3655.98</v>
      </c>
      <c r="F105" s="66">
        <f t="shared" ref="F105:G105" si="28">F109+F113+F117</f>
        <v>0</v>
      </c>
      <c r="G105" s="66">
        <f t="shared" si="28"/>
        <v>0</v>
      </c>
    </row>
    <row r="106" spans="2:9" ht="15.75" x14ac:dyDescent="0.25">
      <c r="B106" s="312"/>
      <c r="C106" s="312"/>
      <c r="D106" s="65" t="s">
        <v>19</v>
      </c>
      <c r="E106" s="66">
        <v>0</v>
      </c>
      <c r="F106" s="66">
        <v>0</v>
      </c>
      <c r="G106" s="66">
        <v>0</v>
      </c>
    </row>
    <row r="107" spans="2:9" ht="18" customHeight="1" x14ac:dyDescent="0.25">
      <c r="B107" s="314" t="s">
        <v>37</v>
      </c>
      <c r="C107" s="317" t="str">
        <f>C15</f>
        <v>Проектно-изыскательские работы, работы по разработке и услуги по экспертизе проектно-сметной (проверке достоверности сметной) документации объектов жилищно-коммунального комплекса</v>
      </c>
      <c r="D107" s="65" t="s">
        <v>16</v>
      </c>
      <c r="E107" s="66">
        <f>E109</f>
        <v>0</v>
      </c>
      <c r="F107" s="66">
        <v>0</v>
      </c>
      <c r="G107" s="66">
        <v>0</v>
      </c>
    </row>
    <row r="108" spans="2:9" ht="22.5" customHeight="1" x14ac:dyDescent="0.25">
      <c r="B108" s="315"/>
      <c r="C108" s="318"/>
      <c r="D108" s="65" t="s">
        <v>17</v>
      </c>
      <c r="E108" s="66">
        <v>0</v>
      </c>
      <c r="F108" s="66">
        <v>0</v>
      </c>
      <c r="G108" s="66">
        <v>0</v>
      </c>
    </row>
    <row r="109" spans="2:9" ht="25.5" customHeight="1" x14ac:dyDescent="0.25">
      <c r="B109" s="315"/>
      <c r="C109" s="318"/>
      <c r="D109" s="65" t="s">
        <v>18</v>
      </c>
      <c r="E109" s="66">
        <f>'план сент24'!AF29</f>
        <v>0</v>
      </c>
      <c r="F109" s="66">
        <v>0</v>
      </c>
      <c r="G109" s="66">
        <v>0</v>
      </c>
    </row>
    <row r="110" spans="2:9" ht="28.5" customHeight="1" x14ac:dyDescent="0.25">
      <c r="B110" s="316"/>
      <c r="C110" s="319"/>
      <c r="D110" s="65" t="s">
        <v>19</v>
      </c>
      <c r="E110" s="66">
        <v>0</v>
      </c>
      <c r="F110" s="66">
        <v>0</v>
      </c>
      <c r="G110" s="66">
        <v>0</v>
      </c>
    </row>
    <row r="111" spans="2:9" ht="15.75" hidden="1" x14ac:dyDescent="0.25">
      <c r="B111" s="314" t="s">
        <v>41</v>
      </c>
      <c r="C111" s="317" t="str">
        <f>C67</f>
        <v>Строительство, реконструкция и технологическое присоединение объектов жилищно-коммунального комплекса</v>
      </c>
      <c r="D111" s="65" t="s">
        <v>16</v>
      </c>
      <c r="E111" s="66">
        <v>0</v>
      </c>
      <c r="F111" s="66">
        <v>0</v>
      </c>
      <c r="G111" s="66">
        <v>0</v>
      </c>
    </row>
    <row r="112" spans="2:9" ht="15.75" hidden="1" x14ac:dyDescent="0.25">
      <c r="B112" s="315"/>
      <c r="C112" s="318"/>
      <c r="D112" s="65" t="s">
        <v>17</v>
      </c>
      <c r="E112" s="66">
        <v>0</v>
      </c>
      <c r="F112" s="66">
        <v>0</v>
      </c>
      <c r="G112" s="66">
        <v>0</v>
      </c>
      <c r="I112" s="2"/>
    </row>
    <row r="113" spans="2:7" ht="15.75" hidden="1" x14ac:dyDescent="0.25">
      <c r="B113" s="315"/>
      <c r="C113" s="318"/>
      <c r="D113" s="65" t="s">
        <v>18</v>
      </c>
      <c r="E113" s="66">
        <f>'план сент24'!AF37+'план сент24'!AF38</f>
        <v>0</v>
      </c>
      <c r="F113" s="66">
        <v>0</v>
      </c>
      <c r="G113" s="66">
        <v>0</v>
      </c>
    </row>
    <row r="114" spans="2:7" ht="15.75" hidden="1" x14ac:dyDescent="0.25">
      <c r="B114" s="316"/>
      <c r="C114" s="319"/>
      <c r="D114" s="65" t="s">
        <v>19</v>
      </c>
      <c r="E114" s="66">
        <v>0</v>
      </c>
      <c r="F114" s="66">
        <v>0</v>
      </c>
      <c r="G114" s="66">
        <v>0</v>
      </c>
    </row>
    <row r="115" spans="2:7" ht="15.75" x14ac:dyDescent="0.25">
      <c r="B115" s="314" t="s">
        <v>45</v>
      </c>
      <c r="C115" s="317" t="str">
        <f>C35</f>
        <v>Обустройство мест массового отдыха</v>
      </c>
      <c r="D115" s="65" t="s">
        <v>16</v>
      </c>
      <c r="E115" s="66">
        <f>E117</f>
        <v>3655.98</v>
      </c>
      <c r="F115" s="66">
        <v>0</v>
      </c>
      <c r="G115" s="66">
        <f>G116+G117</f>
        <v>0</v>
      </c>
    </row>
    <row r="116" spans="2:7" ht="15.75" x14ac:dyDescent="0.25">
      <c r="B116" s="315"/>
      <c r="C116" s="318"/>
      <c r="D116" s="65" t="s">
        <v>17</v>
      </c>
      <c r="E116" s="66">
        <v>0</v>
      </c>
      <c r="F116" s="66">
        <v>0</v>
      </c>
      <c r="G116" s="66">
        <v>0</v>
      </c>
    </row>
    <row r="117" spans="2:7" ht="15.75" x14ac:dyDescent="0.25">
      <c r="B117" s="315"/>
      <c r="C117" s="318"/>
      <c r="D117" s="65" t="s">
        <v>18</v>
      </c>
      <c r="E117" s="66">
        <f>'план сент24'!AF97</f>
        <v>3655.98</v>
      </c>
      <c r="F117" s="66">
        <v>0</v>
      </c>
      <c r="G117" s="66">
        <v>0</v>
      </c>
    </row>
    <row r="118" spans="2:7" ht="15.75" x14ac:dyDescent="0.25">
      <c r="B118" s="316"/>
      <c r="C118" s="319"/>
      <c r="D118" s="65" t="s">
        <v>19</v>
      </c>
      <c r="E118" s="66">
        <v>0</v>
      </c>
      <c r="F118" s="66">
        <v>0</v>
      </c>
      <c r="G118" s="66">
        <v>0</v>
      </c>
    </row>
    <row r="119" spans="2:7" ht="18" customHeight="1" x14ac:dyDescent="0.25">
      <c r="B119" s="312" t="s">
        <v>129</v>
      </c>
      <c r="C119" s="312"/>
      <c r="D119" s="65" t="s">
        <v>16</v>
      </c>
      <c r="E119" s="66">
        <f>E120+E121+E122</f>
        <v>204.12</v>
      </c>
      <c r="F119" s="66">
        <v>134.85</v>
      </c>
      <c r="G119" s="66">
        <v>134.85</v>
      </c>
    </row>
    <row r="120" spans="2:7" ht="15.75" x14ac:dyDescent="0.25">
      <c r="B120" s="312"/>
      <c r="C120" s="312"/>
      <c r="D120" s="65" t="s">
        <v>17</v>
      </c>
      <c r="E120" s="66">
        <v>0</v>
      </c>
      <c r="F120" s="66">
        <v>0</v>
      </c>
      <c r="G120" s="66">
        <v>0</v>
      </c>
    </row>
    <row r="121" spans="2:7" ht="15.75" x14ac:dyDescent="0.25">
      <c r="B121" s="312"/>
      <c r="C121" s="312"/>
      <c r="D121" s="65" t="s">
        <v>18</v>
      </c>
      <c r="E121" s="66">
        <v>204.12</v>
      </c>
      <c r="F121" s="66">
        <v>134.85</v>
      </c>
      <c r="G121" s="66">
        <v>134.85</v>
      </c>
    </row>
    <row r="122" spans="2:7" ht="15.75" x14ac:dyDescent="0.25">
      <c r="B122" s="312"/>
      <c r="C122" s="312"/>
      <c r="D122" s="65" t="s">
        <v>19</v>
      </c>
      <c r="E122" s="66">
        <v>0</v>
      </c>
      <c r="F122" s="66">
        <v>0</v>
      </c>
      <c r="G122" s="66">
        <v>0</v>
      </c>
    </row>
    <row r="123" spans="2:7" ht="15.75" x14ac:dyDescent="0.25">
      <c r="B123" s="313" t="s">
        <v>41</v>
      </c>
      <c r="C123" s="312" t="str">
        <f>C67</f>
        <v>Строительство, реконструкция и технологическое присоединение объектов жилищно-коммунального комплекса</v>
      </c>
      <c r="D123" s="39" t="s">
        <v>16</v>
      </c>
      <c r="E123" s="41">
        <f>E125</f>
        <v>204.12</v>
      </c>
      <c r="F123" s="41">
        <f t="shared" ref="F123:G123" si="29">F125</f>
        <v>134.85</v>
      </c>
      <c r="G123" s="41">
        <f t="shared" si="29"/>
        <v>134.85</v>
      </c>
    </row>
    <row r="124" spans="2:7" ht="15.75" x14ac:dyDescent="0.25">
      <c r="B124" s="313"/>
      <c r="C124" s="312"/>
      <c r="D124" s="39" t="s">
        <v>17</v>
      </c>
      <c r="E124" s="41">
        <v>0</v>
      </c>
      <c r="F124" s="41">
        <v>0</v>
      </c>
      <c r="G124" s="41">
        <v>0</v>
      </c>
    </row>
    <row r="125" spans="2:7" ht="21" customHeight="1" x14ac:dyDescent="0.25">
      <c r="B125" s="313"/>
      <c r="C125" s="312"/>
      <c r="D125" s="39" t="s">
        <v>18</v>
      </c>
      <c r="E125" s="41">
        <f>'план сент24'!AF36</f>
        <v>204.12</v>
      </c>
      <c r="F125" s="41">
        <f>'план сент24'!AH36</f>
        <v>134.85</v>
      </c>
      <c r="G125" s="41">
        <f>'план сент24'!AI36</f>
        <v>134.85</v>
      </c>
    </row>
    <row r="126" spans="2:7" ht="18.75" customHeight="1" x14ac:dyDescent="0.25">
      <c r="B126" s="313"/>
      <c r="C126" s="312"/>
      <c r="D126" s="39" t="s">
        <v>19</v>
      </c>
      <c r="E126" s="41">
        <v>0</v>
      </c>
      <c r="F126" s="41">
        <v>0</v>
      </c>
      <c r="G126" s="41">
        <v>0</v>
      </c>
    </row>
    <row r="127" spans="2:7" ht="15.75" x14ac:dyDescent="0.25">
      <c r="B127" s="312" t="s">
        <v>346</v>
      </c>
      <c r="C127" s="312"/>
      <c r="D127" s="65" t="s">
        <v>16</v>
      </c>
      <c r="E127" s="66">
        <f>E128+E129+E130</f>
        <v>1005.96</v>
      </c>
      <c r="F127" s="66">
        <v>134.85</v>
      </c>
      <c r="G127" s="66">
        <v>134.85</v>
      </c>
    </row>
    <row r="128" spans="2:7" ht="15.75" x14ac:dyDescent="0.25">
      <c r="B128" s="312"/>
      <c r="C128" s="312"/>
      <c r="D128" s="65" t="s">
        <v>17</v>
      </c>
      <c r="E128" s="66">
        <v>0</v>
      </c>
      <c r="F128" s="66">
        <v>0</v>
      </c>
      <c r="G128" s="66">
        <v>0</v>
      </c>
    </row>
    <row r="129" spans="2:7" ht="15.75" x14ac:dyDescent="0.25">
      <c r="B129" s="312"/>
      <c r="C129" s="312"/>
      <c r="D129" s="65" t="s">
        <v>18</v>
      </c>
      <c r="E129" s="66">
        <f>E133</f>
        <v>1005.96</v>
      </c>
      <c r="F129" s="66">
        <v>134.85</v>
      </c>
      <c r="G129" s="66">
        <v>134.85</v>
      </c>
    </row>
    <row r="130" spans="2:7" ht="15.75" x14ac:dyDescent="0.25">
      <c r="B130" s="312"/>
      <c r="C130" s="312"/>
      <c r="D130" s="65" t="s">
        <v>19</v>
      </c>
      <c r="E130" s="66">
        <v>0</v>
      </c>
      <c r="F130" s="66">
        <v>0</v>
      </c>
      <c r="G130" s="66">
        <v>0</v>
      </c>
    </row>
    <row r="131" spans="2:7" ht="15.75" customHeight="1" x14ac:dyDescent="0.25">
      <c r="B131" s="313" t="s">
        <v>46</v>
      </c>
      <c r="C131" s="312" t="str">
        <f>C83</f>
        <v>Обустройство мест массового отдыха</v>
      </c>
      <c r="D131" s="39" t="s">
        <v>16</v>
      </c>
      <c r="E131" s="41">
        <f>E133</f>
        <v>1005.96</v>
      </c>
      <c r="F131" s="41">
        <f t="shared" ref="F131:G131" si="30">F133</f>
        <v>0</v>
      </c>
      <c r="G131" s="41">
        <f t="shared" si="30"/>
        <v>0</v>
      </c>
    </row>
    <row r="132" spans="2:7" ht="15.75" x14ac:dyDescent="0.25">
      <c r="B132" s="313"/>
      <c r="C132" s="312"/>
      <c r="D132" s="39" t="s">
        <v>17</v>
      </c>
      <c r="E132" s="41">
        <v>0</v>
      </c>
      <c r="F132" s="41">
        <v>0</v>
      </c>
      <c r="G132" s="41">
        <v>0</v>
      </c>
    </row>
    <row r="133" spans="2:7" ht="15.75" x14ac:dyDescent="0.25">
      <c r="B133" s="313"/>
      <c r="C133" s="312"/>
      <c r="D133" s="39" t="s">
        <v>18</v>
      </c>
      <c r="E133" s="41">
        <f>'план сент24'!AF153</f>
        <v>1005.96</v>
      </c>
      <c r="F133" s="41">
        <f>'план сент24'!AH44</f>
        <v>0</v>
      </c>
      <c r="G133" s="41">
        <f>'план сент24'!AI44</f>
        <v>0</v>
      </c>
    </row>
    <row r="134" spans="2:7" ht="15.75" x14ac:dyDescent="0.25">
      <c r="B134" s="313"/>
      <c r="C134" s="312"/>
      <c r="D134" s="39" t="s">
        <v>19</v>
      </c>
      <c r="E134" s="41">
        <v>0</v>
      </c>
      <c r="F134" s="41">
        <v>0</v>
      </c>
      <c r="G134" s="41">
        <v>0</v>
      </c>
    </row>
  </sheetData>
  <mergeCells count="65">
    <mergeCell ref="F1:G1"/>
    <mergeCell ref="C99:C102"/>
    <mergeCell ref="B99:B102"/>
    <mergeCell ref="B119:C122"/>
    <mergeCell ref="B123:B126"/>
    <mergeCell ref="C123:C126"/>
    <mergeCell ref="C63:C66"/>
    <mergeCell ref="B79:B82"/>
    <mergeCell ref="C79:C82"/>
    <mergeCell ref="B67:B70"/>
    <mergeCell ref="B95:B98"/>
    <mergeCell ref="C95:C98"/>
    <mergeCell ref="B71:B74"/>
    <mergeCell ref="C71:C74"/>
    <mergeCell ref="B75:B78"/>
    <mergeCell ref="C75:C78"/>
    <mergeCell ref="B91:B94"/>
    <mergeCell ref="C91:C94"/>
    <mergeCell ref="B87:B90"/>
    <mergeCell ref="C87:C90"/>
    <mergeCell ref="C35:C38"/>
    <mergeCell ref="B35:B38"/>
    <mergeCell ref="C43:C46"/>
    <mergeCell ref="B43:B46"/>
    <mergeCell ref="C47:C50"/>
    <mergeCell ref="B47:B50"/>
    <mergeCell ref="B59:B62"/>
    <mergeCell ref="C59:C62"/>
    <mergeCell ref="B83:B86"/>
    <mergeCell ref="C83:C86"/>
    <mergeCell ref="C67:C70"/>
    <mergeCell ref="C39:C42"/>
    <mergeCell ref="B15:B18"/>
    <mergeCell ref="C15:C18"/>
    <mergeCell ref="B27:B30"/>
    <mergeCell ref="C27:C30"/>
    <mergeCell ref="B31:B34"/>
    <mergeCell ref="C31:C34"/>
    <mergeCell ref="B19:B22"/>
    <mergeCell ref="B23:B26"/>
    <mergeCell ref="C23:C26"/>
    <mergeCell ref="B55:C58"/>
    <mergeCell ref="B39:B42"/>
    <mergeCell ref="C19:C22"/>
    <mergeCell ref="B63:B66"/>
    <mergeCell ref="C51:C54"/>
    <mergeCell ref="B51:B54"/>
    <mergeCell ref="B3:G3"/>
    <mergeCell ref="B11:B14"/>
    <mergeCell ref="D4:D5"/>
    <mergeCell ref="B7:C10"/>
    <mergeCell ref="B4:B5"/>
    <mergeCell ref="C4:C5"/>
    <mergeCell ref="C11:C14"/>
    <mergeCell ref="E4:G4"/>
    <mergeCell ref="B127:C130"/>
    <mergeCell ref="B131:B134"/>
    <mergeCell ref="C131:C134"/>
    <mergeCell ref="B103:C106"/>
    <mergeCell ref="B107:B110"/>
    <mergeCell ref="C107:C110"/>
    <mergeCell ref="B111:B114"/>
    <mergeCell ref="B115:B118"/>
    <mergeCell ref="C115:C118"/>
    <mergeCell ref="C111:C114"/>
  </mergeCells>
  <phoneticPr fontId="3" type="noConversion"/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M217"/>
  <sheetViews>
    <sheetView tabSelected="1" zoomScale="90" zoomScaleNormal="90" workbookViewId="0">
      <pane xSplit="2" ySplit="12" topLeftCell="C96" activePane="bottomRight" state="frozen"/>
      <selection pane="topRight" activeCell="C1" sqref="C1"/>
      <selection pane="bottomLeft" activeCell="A13" sqref="A13"/>
      <selection pane="bottomRight" activeCell="E99" sqref="E99"/>
    </sheetView>
  </sheetViews>
  <sheetFormatPr defaultRowHeight="15" outlineLevelCol="2" x14ac:dyDescent="0.25"/>
  <cols>
    <col min="1" max="1" width="0.85546875" style="160" hidden="1" customWidth="1" outlineLevel="1"/>
    <col min="2" max="2" width="15.140625" style="160" hidden="1" customWidth="1" outlineLevel="1"/>
    <col min="3" max="3" width="15.5703125" style="6" customWidth="1" collapsed="1"/>
    <col min="4" max="4" width="12.28515625" style="7" customWidth="1"/>
    <col min="5" max="5" width="25.85546875" style="8" customWidth="1"/>
    <col min="6" max="6" width="49.7109375" style="9" customWidth="1"/>
    <col min="7" max="7" width="17.85546875" style="27" customWidth="1" outlineLevel="1"/>
    <col min="8" max="8" width="6.85546875" style="8" customWidth="1" outlineLevel="1"/>
    <col min="9" max="9" width="11.85546875" style="8" customWidth="1" outlineLevel="1"/>
    <col min="10" max="10" width="13.42578125" style="8" customWidth="1" outlineLevel="1"/>
    <col min="11" max="11" width="12.5703125" style="8" customWidth="1" outlineLevel="1"/>
    <col min="12" max="12" width="11.42578125" style="8" customWidth="1" outlineLevel="1"/>
    <col min="13" max="13" width="24.140625" style="8" hidden="1" customWidth="1"/>
    <col min="14" max="14" width="12.42578125" style="32" hidden="1" customWidth="1" outlineLevel="2"/>
    <col min="15" max="15" width="13.140625" style="32" hidden="1" customWidth="1" outlineLevel="2"/>
    <col min="16" max="16" width="12.42578125" style="210" hidden="1" customWidth="1" outlineLevel="2"/>
    <col min="17" max="17" width="11.85546875" style="32" hidden="1" customWidth="1" outlineLevel="2"/>
    <col min="18" max="19" width="9.85546875" style="32" hidden="1" customWidth="1" outlineLevel="2"/>
    <col min="20" max="20" width="8.42578125" style="32" hidden="1" customWidth="1" outlineLevel="2"/>
    <col min="21" max="21" width="9.85546875" style="32" hidden="1" customWidth="1" outlineLevel="2"/>
    <col min="22" max="22" width="12.140625" style="32" hidden="1" customWidth="1" outlineLevel="1" collapsed="1"/>
    <col min="23" max="23" width="10.42578125" style="32" hidden="1" customWidth="1" outlineLevel="1"/>
    <col min="24" max="24" width="11.140625" style="32" hidden="1" customWidth="1" outlineLevel="1"/>
    <col min="25" max="25" width="9.7109375" style="32" hidden="1" customWidth="1" outlineLevel="1"/>
    <col min="26" max="27" width="9" style="251" hidden="1" customWidth="1" outlineLevel="1"/>
    <col min="28" max="28" width="10.140625" style="251" hidden="1" customWidth="1" outlineLevel="1"/>
    <col min="29" max="31" width="8.85546875" style="251" hidden="1" customWidth="1" outlineLevel="1"/>
    <col min="32" max="32" width="12.42578125" style="32" customWidth="1" collapsed="1"/>
    <col min="33" max="33" width="13.140625" style="32" customWidth="1"/>
    <col min="34" max="34" width="11.85546875" style="32" customWidth="1"/>
    <col min="35" max="35" width="11.7109375" style="32" customWidth="1"/>
    <col min="36" max="36" width="12.140625" style="10" hidden="1" customWidth="1"/>
    <col min="37" max="37" width="9.140625" style="10"/>
    <col min="38" max="38" width="10.85546875" style="10" bestFit="1" customWidth="1"/>
    <col min="39" max="16384" width="9.140625" style="10"/>
  </cols>
  <sheetData>
    <row r="2" spans="1:39" ht="15" customHeight="1" x14ac:dyDescent="0.25">
      <c r="N2" s="348" t="s">
        <v>479</v>
      </c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</row>
    <row r="3" spans="1:39" ht="15.75" customHeight="1" x14ac:dyDescent="0.25"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8"/>
      <c r="AB3" s="348"/>
      <c r="AC3" s="348"/>
      <c r="AD3" s="348"/>
      <c r="AE3" s="348"/>
      <c r="AF3" s="348"/>
      <c r="AG3" s="348"/>
      <c r="AH3" s="348"/>
      <c r="AI3" s="348"/>
    </row>
    <row r="4" spans="1:39" ht="15.75" customHeight="1" x14ac:dyDescent="0.25">
      <c r="C4" s="342" t="s">
        <v>34</v>
      </c>
      <c r="D4" s="343"/>
      <c r="E4" s="343"/>
      <c r="F4" s="343"/>
      <c r="G4" s="343"/>
      <c r="H4" s="343"/>
      <c r="I4" s="343"/>
      <c r="J4" s="343"/>
      <c r="K4" s="343"/>
      <c r="L4" s="343"/>
      <c r="M4" s="173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  <c r="Y4" s="348"/>
      <c r="Z4" s="348"/>
      <c r="AA4" s="348"/>
      <c r="AB4" s="348"/>
      <c r="AC4" s="348"/>
      <c r="AD4" s="348"/>
      <c r="AE4" s="348"/>
      <c r="AF4" s="348"/>
      <c r="AG4" s="348"/>
      <c r="AH4" s="348"/>
      <c r="AI4" s="348"/>
    </row>
    <row r="5" spans="1:39" ht="75.75" customHeight="1" x14ac:dyDescent="0.25">
      <c r="C5" s="342" t="s">
        <v>329</v>
      </c>
      <c r="D5" s="344"/>
      <c r="E5" s="344"/>
      <c r="F5" s="344"/>
      <c r="G5" s="344"/>
      <c r="H5" s="344"/>
      <c r="I5" s="344"/>
      <c r="J5" s="344"/>
      <c r="K5" s="344"/>
      <c r="L5" s="344"/>
      <c r="M5" s="67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</row>
    <row r="6" spans="1:39" ht="15" customHeight="1" x14ac:dyDescent="0.25">
      <c r="C6" s="342" t="s">
        <v>118</v>
      </c>
      <c r="D6" s="344"/>
      <c r="E6" s="344"/>
      <c r="F6" s="344"/>
      <c r="G6" s="344"/>
      <c r="H6" s="344"/>
      <c r="I6" s="344"/>
      <c r="J6" s="344"/>
      <c r="K6" s="344"/>
      <c r="L6" s="344"/>
      <c r="M6" s="67"/>
    </row>
    <row r="8" spans="1:39" s="52" customFormat="1" ht="35.25" customHeight="1" x14ac:dyDescent="0.2">
      <c r="A8" s="161"/>
      <c r="B8" s="161"/>
      <c r="C8" s="345" t="s">
        <v>21</v>
      </c>
      <c r="D8" s="346" t="s">
        <v>22</v>
      </c>
      <c r="E8" s="346" t="s">
        <v>23</v>
      </c>
      <c r="F8" s="347" t="s">
        <v>24</v>
      </c>
      <c r="G8" s="346" t="s">
        <v>25</v>
      </c>
      <c r="H8" s="346"/>
      <c r="I8" s="346"/>
      <c r="J8" s="346"/>
      <c r="K8" s="346"/>
      <c r="L8" s="346"/>
      <c r="M8" s="241"/>
      <c r="N8" s="334" t="s">
        <v>26</v>
      </c>
      <c r="O8" s="334"/>
      <c r="P8" s="334"/>
      <c r="Q8" s="334"/>
      <c r="R8" s="334"/>
      <c r="S8" s="334"/>
      <c r="T8" s="334"/>
      <c r="U8" s="334"/>
      <c r="V8" s="334"/>
      <c r="W8" s="334"/>
      <c r="X8" s="334"/>
      <c r="Y8" s="334"/>
      <c r="Z8" s="334"/>
      <c r="AA8" s="334"/>
      <c r="AB8" s="334"/>
      <c r="AC8" s="334"/>
      <c r="AD8" s="334"/>
      <c r="AE8" s="334"/>
      <c r="AF8" s="334"/>
      <c r="AG8" s="334"/>
      <c r="AH8" s="334"/>
      <c r="AI8" s="334"/>
    </row>
    <row r="9" spans="1:39" s="52" customFormat="1" ht="16.5" customHeight="1" x14ac:dyDescent="0.2">
      <c r="A9" s="161"/>
      <c r="B9" s="161"/>
      <c r="C9" s="345"/>
      <c r="D9" s="346"/>
      <c r="E9" s="346"/>
      <c r="F9" s="347"/>
      <c r="G9" s="346" t="s">
        <v>27</v>
      </c>
      <c r="H9" s="346" t="s">
        <v>28</v>
      </c>
      <c r="I9" s="346" t="s">
        <v>29</v>
      </c>
      <c r="J9" s="346"/>
      <c r="K9" s="346"/>
      <c r="L9" s="346"/>
      <c r="M9" s="241"/>
      <c r="N9" s="345">
        <v>2024</v>
      </c>
      <c r="O9" s="349"/>
      <c r="P9" s="243"/>
      <c r="Q9" s="242"/>
      <c r="R9" s="360" t="s">
        <v>388</v>
      </c>
      <c r="S9" s="361"/>
      <c r="T9" s="242"/>
      <c r="U9" s="242"/>
      <c r="V9" s="242" t="s">
        <v>433</v>
      </c>
      <c r="W9" s="242" t="s">
        <v>426</v>
      </c>
      <c r="X9" s="338" t="s">
        <v>401</v>
      </c>
      <c r="Y9" s="339"/>
      <c r="Z9" s="333"/>
      <c r="AA9" s="272" t="s">
        <v>446</v>
      </c>
      <c r="AB9" s="332" t="s">
        <v>452</v>
      </c>
      <c r="AC9" s="333"/>
      <c r="AD9" s="272"/>
      <c r="AE9" s="272"/>
      <c r="AF9" s="345">
        <v>2024</v>
      </c>
      <c r="AG9" s="349"/>
      <c r="AH9" s="345">
        <v>2025</v>
      </c>
      <c r="AI9" s="345">
        <v>2026</v>
      </c>
    </row>
    <row r="10" spans="1:39" s="52" customFormat="1" ht="15.75" customHeight="1" x14ac:dyDescent="0.2">
      <c r="A10" s="161"/>
      <c r="B10" s="161"/>
      <c r="C10" s="345"/>
      <c r="D10" s="346"/>
      <c r="E10" s="346"/>
      <c r="F10" s="347"/>
      <c r="G10" s="346"/>
      <c r="H10" s="346"/>
      <c r="I10" s="346" t="s">
        <v>30</v>
      </c>
      <c r="J10" s="346"/>
      <c r="K10" s="346">
        <v>2025</v>
      </c>
      <c r="L10" s="346">
        <v>2026</v>
      </c>
      <c r="M10" s="241"/>
      <c r="N10" s="334" t="s">
        <v>85</v>
      </c>
      <c r="O10" s="64" t="s">
        <v>86</v>
      </c>
      <c r="P10" s="352" t="s">
        <v>330</v>
      </c>
      <c r="Q10" s="334" t="s">
        <v>350</v>
      </c>
      <c r="R10" s="334" t="s">
        <v>372</v>
      </c>
      <c r="S10" s="334" t="s">
        <v>389</v>
      </c>
      <c r="T10" s="334" t="s">
        <v>390</v>
      </c>
      <c r="U10" s="334" t="s">
        <v>391</v>
      </c>
      <c r="V10" s="334" t="s">
        <v>434</v>
      </c>
      <c r="W10" s="334" t="s">
        <v>17</v>
      </c>
      <c r="X10" s="336" t="s">
        <v>403</v>
      </c>
      <c r="Y10" s="356" t="s">
        <v>402</v>
      </c>
      <c r="Z10" s="340" t="s">
        <v>442</v>
      </c>
      <c r="AA10" s="252"/>
      <c r="AB10" s="358" t="s">
        <v>403</v>
      </c>
      <c r="AC10" s="354" t="s">
        <v>458</v>
      </c>
      <c r="AD10" s="290"/>
      <c r="AE10" s="290"/>
      <c r="AF10" s="350" t="s">
        <v>85</v>
      </c>
      <c r="AG10" s="64" t="s">
        <v>86</v>
      </c>
      <c r="AH10" s="345"/>
      <c r="AI10" s="345"/>
    </row>
    <row r="11" spans="1:39" s="52" customFormat="1" ht="34.5" customHeight="1" x14ac:dyDescent="0.2">
      <c r="A11" s="161"/>
      <c r="B11" s="161"/>
      <c r="C11" s="345"/>
      <c r="D11" s="346"/>
      <c r="E11" s="346"/>
      <c r="F11" s="347"/>
      <c r="G11" s="346"/>
      <c r="H11" s="346"/>
      <c r="I11" s="61">
        <v>2024</v>
      </c>
      <c r="J11" s="61" t="s">
        <v>31</v>
      </c>
      <c r="K11" s="346"/>
      <c r="L11" s="346"/>
      <c r="M11" s="241"/>
      <c r="N11" s="335"/>
      <c r="O11" s="64" t="s">
        <v>17</v>
      </c>
      <c r="P11" s="353"/>
      <c r="Q11" s="335"/>
      <c r="R11" s="335"/>
      <c r="S11" s="335"/>
      <c r="T11" s="335"/>
      <c r="U11" s="335"/>
      <c r="V11" s="335"/>
      <c r="W11" s="335"/>
      <c r="X11" s="337"/>
      <c r="Y11" s="357"/>
      <c r="Z11" s="341"/>
      <c r="AA11" s="271" t="s">
        <v>447</v>
      </c>
      <c r="AB11" s="359"/>
      <c r="AC11" s="355"/>
      <c r="AD11" s="291" t="s">
        <v>471</v>
      </c>
      <c r="AE11" s="291"/>
      <c r="AF11" s="351"/>
      <c r="AG11" s="64" t="s">
        <v>17</v>
      </c>
      <c r="AH11" s="345"/>
      <c r="AI11" s="345"/>
    </row>
    <row r="12" spans="1:39" x14ac:dyDescent="0.25">
      <c r="C12" s="14">
        <v>1</v>
      </c>
      <c r="D12" s="12">
        <v>2</v>
      </c>
      <c r="E12" s="12">
        <v>3</v>
      </c>
      <c r="F12" s="12">
        <v>4</v>
      </c>
      <c r="G12" s="12">
        <v>5</v>
      </c>
      <c r="H12" s="12">
        <v>6</v>
      </c>
      <c r="I12" s="12">
        <v>7</v>
      </c>
      <c r="J12" s="12">
        <v>8</v>
      </c>
      <c r="K12" s="12">
        <v>9</v>
      </c>
      <c r="L12" s="12">
        <v>10</v>
      </c>
      <c r="M12" s="174"/>
      <c r="N12" s="12">
        <v>11</v>
      </c>
      <c r="O12" s="12">
        <v>12</v>
      </c>
      <c r="P12" s="189">
        <v>11</v>
      </c>
      <c r="Q12" s="12">
        <v>11</v>
      </c>
      <c r="R12" s="12">
        <v>11</v>
      </c>
      <c r="S12" s="12"/>
      <c r="T12" s="12">
        <v>11</v>
      </c>
      <c r="U12" s="12">
        <v>11</v>
      </c>
      <c r="V12" s="12">
        <v>11</v>
      </c>
      <c r="W12" s="12">
        <v>11</v>
      </c>
      <c r="X12" s="12">
        <v>11</v>
      </c>
      <c r="Y12" s="12">
        <v>11</v>
      </c>
      <c r="Z12" s="253">
        <v>11</v>
      </c>
      <c r="AA12" s="253"/>
      <c r="AB12" s="253">
        <v>11</v>
      </c>
      <c r="AC12" s="253">
        <v>11</v>
      </c>
      <c r="AD12" s="253"/>
      <c r="AE12" s="253"/>
      <c r="AF12" s="12">
        <v>11</v>
      </c>
      <c r="AG12" s="12">
        <v>12</v>
      </c>
      <c r="AH12" s="12">
        <v>13</v>
      </c>
      <c r="AI12" s="12">
        <v>14</v>
      </c>
      <c r="AL12" s="157"/>
      <c r="AM12" s="157"/>
    </row>
    <row r="13" spans="1:39" s="52" customFormat="1" ht="24" customHeight="1" x14ac:dyDescent="0.2">
      <c r="A13" s="161"/>
      <c r="B13" s="161"/>
      <c r="C13" s="47" t="s">
        <v>32</v>
      </c>
      <c r="D13" s="61" t="s">
        <v>32</v>
      </c>
      <c r="E13" s="61" t="s">
        <v>32</v>
      </c>
      <c r="F13" s="62" t="s">
        <v>154</v>
      </c>
      <c r="G13" s="61" t="s">
        <v>32</v>
      </c>
      <c r="H13" s="61" t="s">
        <v>32</v>
      </c>
      <c r="I13" s="63" t="s">
        <v>32</v>
      </c>
      <c r="J13" s="63" t="s">
        <v>32</v>
      </c>
      <c r="K13" s="63" t="s">
        <v>32</v>
      </c>
      <c r="L13" s="63" t="s">
        <v>32</v>
      </c>
      <c r="M13" s="175"/>
      <c r="N13" s="64">
        <f t="shared" ref="N13:Z13" si="0">N16+N30+N34+N40+N86+N92+N96+N101+N119+N158+N173+N192+N204</f>
        <v>202257.70000000004</v>
      </c>
      <c r="O13" s="64">
        <f t="shared" si="0"/>
        <v>42600</v>
      </c>
      <c r="P13" s="64">
        <f t="shared" si="0"/>
        <v>4271.2299999999996</v>
      </c>
      <c r="Q13" s="64">
        <f t="shared" si="0"/>
        <v>0</v>
      </c>
      <c r="R13" s="64">
        <f t="shared" si="0"/>
        <v>13602.09</v>
      </c>
      <c r="S13" s="64">
        <f t="shared" si="0"/>
        <v>684.66000000000008</v>
      </c>
      <c r="T13" s="64">
        <f t="shared" si="0"/>
        <v>1574.73</v>
      </c>
      <c r="U13" s="64">
        <f t="shared" si="0"/>
        <v>-1.4210854715202004E-13</v>
      </c>
      <c r="V13" s="64">
        <f t="shared" si="0"/>
        <v>0</v>
      </c>
      <c r="W13" s="64">
        <f t="shared" si="0"/>
        <v>7380.55</v>
      </c>
      <c r="X13" s="64">
        <f t="shared" si="0"/>
        <v>4466.9399999999996</v>
      </c>
      <c r="Y13" s="64">
        <f t="shared" si="0"/>
        <v>1340.0300000000002</v>
      </c>
      <c r="Z13" s="252">
        <f t="shared" si="0"/>
        <v>-10.52</v>
      </c>
      <c r="AA13" s="252"/>
      <c r="AB13" s="252">
        <f t="shared" ref="AB13:AC13" si="1">AB16+AB30+AB34+AB40+AB86+AB92+AB96+AB101+AB119+AB158+AB173+AB192+AB204</f>
        <v>12225.91</v>
      </c>
      <c r="AC13" s="252">
        <f t="shared" si="1"/>
        <v>3880.07</v>
      </c>
      <c r="AD13" s="252"/>
      <c r="AE13" s="252"/>
      <c r="AF13" s="64">
        <f t="shared" ref="AF13:AI13" si="2">AF16+AF30+AF34+AF40+AF86+AF92+AF96+AF101+AF119+AF158+AF173+AF192+AF204</f>
        <v>254157.35</v>
      </c>
      <c r="AG13" s="64">
        <f t="shared" si="2"/>
        <v>51555.280000000006</v>
      </c>
      <c r="AH13" s="64">
        <f t="shared" si="2"/>
        <v>120676.83999999998</v>
      </c>
      <c r="AI13" s="64">
        <f t="shared" si="2"/>
        <v>104226.84999999999</v>
      </c>
      <c r="AM13" s="153"/>
    </row>
    <row r="14" spans="1:39" s="52" customFormat="1" ht="39.75" customHeight="1" x14ac:dyDescent="0.2">
      <c r="A14" s="161"/>
      <c r="B14" s="161"/>
      <c r="C14" s="54" t="s">
        <v>9</v>
      </c>
      <c r="D14" s="48" t="s">
        <v>33</v>
      </c>
      <c r="E14" s="48" t="s">
        <v>33</v>
      </c>
      <c r="F14" s="49" t="s">
        <v>239</v>
      </c>
      <c r="G14" s="48" t="s">
        <v>33</v>
      </c>
      <c r="H14" s="48" t="s">
        <v>33</v>
      </c>
      <c r="I14" s="50" t="s">
        <v>33</v>
      </c>
      <c r="J14" s="50" t="s">
        <v>33</v>
      </c>
      <c r="K14" s="50" t="s">
        <v>33</v>
      </c>
      <c r="L14" s="50" t="s">
        <v>33</v>
      </c>
      <c r="M14" s="190"/>
      <c r="N14" s="51">
        <f>N15+N29+N33+N39</f>
        <v>58706.96</v>
      </c>
      <c r="O14" s="51">
        <f t="shared" ref="O14:AI14" si="3">O15+O29+O33+O39</f>
        <v>3000</v>
      </c>
      <c r="P14" s="51">
        <f t="shared" ref="P14:AF14" si="4">P15+P29+P33+P39</f>
        <v>4955.53</v>
      </c>
      <c r="Q14" s="51">
        <f t="shared" si="4"/>
        <v>0</v>
      </c>
      <c r="R14" s="51">
        <f t="shared" si="4"/>
        <v>8385.49</v>
      </c>
      <c r="S14" s="51">
        <f t="shared" si="4"/>
        <v>876.4</v>
      </c>
      <c r="T14" s="51">
        <f t="shared" si="4"/>
        <v>1574.73</v>
      </c>
      <c r="U14" s="51">
        <f t="shared" si="4"/>
        <v>-1.4210854715202004E-13</v>
      </c>
      <c r="V14" s="51">
        <f t="shared" si="4"/>
        <v>0</v>
      </c>
      <c r="W14" s="51">
        <f t="shared" si="4"/>
        <v>0</v>
      </c>
      <c r="X14" s="51">
        <f t="shared" si="4"/>
        <v>4766.82</v>
      </c>
      <c r="Y14" s="51">
        <f t="shared" ref="Y14:Z14" si="5">Y15+Y29+Y33+Y39</f>
        <v>-2000</v>
      </c>
      <c r="Z14" s="254">
        <f t="shared" si="5"/>
        <v>0</v>
      </c>
      <c r="AA14" s="254"/>
      <c r="AB14" s="254">
        <f t="shared" ref="AB14:AC14" si="6">AB15+AB29+AB33+AB39</f>
        <v>440.35</v>
      </c>
      <c r="AC14" s="254">
        <f t="shared" si="6"/>
        <v>4118.09</v>
      </c>
      <c r="AD14" s="254"/>
      <c r="AE14" s="254"/>
      <c r="AF14" s="51">
        <f t="shared" si="4"/>
        <v>81824.37</v>
      </c>
      <c r="AG14" s="51">
        <f t="shared" ref="AG14" si="7">AG15+AG29+AG33+AG39</f>
        <v>4574.7299999999996</v>
      </c>
      <c r="AH14" s="51">
        <f t="shared" si="3"/>
        <v>61122.75</v>
      </c>
      <c r="AI14" s="51">
        <f t="shared" si="3"/>
        <v>44671.689999999995</v>
      </c>
      <c r="AJ14" s="153">
        <f>N14+AH14+AI14</f>
        <v>164501.4</v>
      </c>
    </row>
    <row r="15" spans="1:39" s="52" customFormat="1" ht="46.5" customHeight="1" x14ac:dyDescent="0.2">
      <c r="A15" s="161"/>
      <c r="B15" s="161"/>
      <c r="C15" s="78" t="s">
        <v>36</v>
      </c>
      <c r="D15" s="79" t="s">
        <v>33</v>
      </c>
      <c r="E15" s="79" t="s">
        <v>33</v>
      </c>
      <c r="F15" s="80" t="s">
        <v>241</v>
      </c>
      <c r="G15" s="79" t="s">
        <v>74</v>
      </c>
      <c r="H15" s="79" t="s">
        <v>38</v>
      </c>
      <c r="I15" s="81">
        <f>I20+I23+I25</f>
        <v>3</v>
      </c>
      <c r="J15" s="81" t="s">
        <v>33</v>
      </c>
      <c r="K15" s="81">
        <v>0</v>
      </c>
      <c r="L15" s="81">
        <v>0</v>
      </c>
      <c r="M15" s="190"/>
      <c r="N15" s="82">
        <f>N17+N19+N22+N24</f>
        <v>1550</v>
      </c>
      <c r="O15" s="82">
        <f t="shared" ref="O15:AI15" si="8">O17+O19+O22+O24</f>
        <v>0</v>
      </c>
      <c r="P15" s="82">
        <f t="shared" ref="P15:AF15" si="9">P17+P19+P22+P24</f>
        <v>0</v>
      </c>
      <c r="Q15" s="82">
        <f t="shared" si="9"/>
        <v>0</v>
      </c>
      <c r="R15" s="82">
        <f t="shared" si="9"/>
        <v>0</v>
      </c>
      <c r="S15" s="82">
        <f t="shared" si="9"/>
        <v>0</v>
      </c>
      <c r="T15" s="82">
        <f t="shared" si="9"/>
        <v>0</v>
      </c>
      <c r="U15" s="82">
        <f t="shared" si="9"/>
        <v>0</v>
      </c>
      <c r="V15" s="82">
        <f t="shared" si="9"/>
        <v>0</v>
      </c>
      <c r="W15" s="82">
        <f t="shared" si="9"/>
        <v>0</v>
      </c>
      <c r="X15" s="82">
        <f t="shared" si="9"/>
        <v>0</v>
      </c>
      <c r="Y15" s="82">
        <f t="shared" ref="Y15:Z15" si="10">Y17+Y19+Y22+Y24</f>
        <v>0</v>
      </c>
      <c r="Z15" s="255">
        <f t="shared" si="10"/>
        <v>0</v>
      </c>
      <c r="AA15" s="255"/>
      <c r="AB15" s="255">
        <f t="shared" ref="AB15:AC15" si="11">AB17+AB19+AB22+AB24</f>
        <v>0</v>
      </c>
      <c r="AC15" s="255">
        <f t="shared" si="11"/>
        <v>0</v>
      </c>
      <c r="AD15" s="255"/>
      <c r="AE15" s="255"/>
      <c r="AF15" s="82">
        <f t="shared" si="9"/>
        <v>1550</v>
      </c>
      <c r="AG15" s="82">
        <f t="shared" ref="AG15" si="12">AG17+AG19+AG22+AG24</f>
        <v>0</v>
      </c>
      <c r="AH15" s="82">
        <f t="shared" si="8"/>
        <v>0</v>
      </c>
      <c r="AI15" s="82">
        <f t="shared" si="8"/>
        <v>0</v>
      </c>
    </row>
    <row r="16" spans="1:39" s="52" customFormat="1" ht="63" customHeight="1" x14ac:dyDescent="0.2">
      <c r="A16" s="161"/>
      <c r="B16" s="161"/>
      <c r="C16" s="125" t="s">
        <v>36</v>
      </c>
      <c r="D16" s="126">
        <v>80110</v>
      </c>
      <c r="E16" s="126" t="s">
        <v>33</v>
      </c>
      <c r="F16" s="127" t="s">
        <v>461</v>
      </c>
      <c r="G16" s="126" t="s">
        <v>33</v>
      </c>
      <c r="H16" s="126" t="s">
        <v>33</v>
      </c>
      <c r="I16" s="128" t="s">
        <v>33</v>
      </c>
      <c r="J16" s="128" t="s">
        <v>33</v>
      </c>
      <c r="K16" s="128" t="s">
        <v>33</v>
      </c>
      <c r="L16" s="128" t="s">
        <v>33</v>
      </c>
      <c r="M16" s="190"/>
      <c r="N16" s="129">
        <f>N17+N19+N24+N22</f>
        <v>1550</v>
      </c>
      <c r="O16" s="129">
        <f t="shared" ref="O16:AI16" si="13">O17+O19+O24+O22</f>
        <v>0</v>
      </c>
      <c r="P16" s="129">
        <f t="shared" ref="P16:AF16" si="14">P17+P19+P24+P22</f>
        <v>0</v>
      </c>
      <c r="Q16" s="129">
        <f t="shared" si="14"/>
        <v>0</v>
      </c>
      <c r="R16" s="129">
        <f t="shared" si="14"/>
        <v>0</v>
      </c>
      <c r="S16" s="129">
        <f t="shared" si="14"/>
        <v>0</v>
      </c>
      <c r="T16" s="129">
        <f t="shared" si="14"/>
        <v>0</v>
      </c>
      <c r="U16" s="129">
        <f t="shared" si="14"/>
        <v>0</v>
      </c>
      <c r="V16" s="129">
        <f t="shared" si="14"/>
        <v>0</v>
      </c>
      <c r="W16" s="129">
        <f t="shared" si="14"/>
        <v>0</v>
      </c>
      <c r="X16" s="129">
        <f t="shared" si="14"/>
        <v>0</v>
      </c>
      <c r="Y16" s="129">
        <f t="shared" ref="Y16:Z16" si="15">Y17+Y19+Y24+Y22</f>
        <v>0</v>
      </c>
      <c r="Z16" s="256">
        <f t="shared" si="15"/>
        <v>0</v>
      </c>
      <c r="AA16" s="256"/>
      <c r="AB16" s="256">
        <f t="shared" ref="AB16:AC16" si="16">AB17+AB19+AB24+AB22</f>
        <v>0</v>
      </c>
      <c r="AC16" s="256">
        <f t="shared" si="16"/>
        <v>0</v>
      </c>
      <c r="AD16" s="256"/>
      <c r="AE16" s="256"/>
      <c r="AF16" s="129">
        <f t="shared" si="14"/>
        <v>1550</v>
      </c>
      <c r="AG16" s="129">
        <f t="shared" ref="AG16" si="17">AG17+AG19+AG24+AG22</f>
        <v>0</v>
      </c>
      <c r="AH16" s="129">
        <f t="shared" si="13"/>
        <v>0</v>
      </c>
      <c r="AI16" s="129">
        <f t="shared" si="13"/>
        <v>0</v>
      </c>
    </row>
    <row r="17" spans="1:35" s="52" customFormat="1" ht="33" hidden="1" customHeight="1" x14ac:dyDescent="0.2">
      <c r="A17" s="161"/>
      <c r="B17" s="161"/>
      <c r="C17" s="83" t="s">
        <v>36</v>
      </c>
      <c r="D17" s="84"/>
      <c r="E17" s="84" t="s">
        <v>107</v>
      </c>
      <c r="F17" s="85" t="s">
        <v>167</v>
      </c>
      <c r="G17" s="84" t="s">
        <v>33</v>
      </c>
      <c r="H17" s="84" t="s">
        <v>33</v>
      </c>
      <c r="I17" s="86" t="s">
        <v>33</v>
      </c>
      <c r="J17" s="86" t="s">
        <v>33</v>
      </c>
      <c r="K17" s="86" t="s">
        <v>33</v>
      </c>
      <c r="L17" s="86" t="s">
        <v>33</v>
      </c>
      <c r="M17" s="178"/>
      <c r="N17" s="87">
        <f>N18</f>
        <v>0</v>
      </c>
      <c r="O17" s="87">
        <f t="shared" ref="O17:AI17" si="18">O18</f>
        <v>0</v>
      </c>
      <c r="P17" s="120">
        <f t="shared" ref="P17:AF17" si="19">P18</f>
        <v>0</v>
      </c>
      <c r="Q17" s="87">
        <f t="shared" si="19"/>
        <v>0</v>
      </c>
      <c r="R17" s="87">
        <f t="shared" si="19"/>
        <v>0</v>
      </c>
      <c r="S17" s="87">
        <f t="shared" si="19"/>
        <v>0</v>
      </c>
      <c r="T17" s="87">
        <f t="shared" si="19"/>
        <v>0</v>
      </c>
      <c r="U17" s="87">
        <f t="shared" si="19"/>
        <v>0</v>
      </c>
      <c r="V17" s="87">
        <f t="shared" si="19"/>
        <v>0</v>
      </c>
      <c r="W17" s="87">
        <f t="shared" si="19"/>
        <v>0</v>
      </c>
      <c r="X17" s="87">
        <f t="shared" si="19"/>
        <v>0</v>
      </c>
      <c r="Y17" s="87">
        <f t="shared" si="19"/>
        <v>0</v>
      </c>
      <c r="Z17" s="257">
        <f t="shared" si="19"/>
        <v>0</v>
      </c>
      <c r="AA17" s="257"/>
      <c r="AB17" s="257">
        <f t="shared" ref="AB17:AC17" si="20">AB18</f>
        <v>0</v>
      </c>
      <c r="AC17" s="257">
        <f t="shared" si="20"/>
        <v>0</v>
      </c>
      <c r="AD17" s="257"/>
      <c r="AE17" s="257"/>
      <c r="AF17" s="87">
        <f t="shared" si="19"/>
        <v>0</v>
      </c>
      <c r="AG17" s="87">
        <f t="shared" si="18"/>
        <v>0</v>
      </c>
      <c r="AH17" s="87">
        <f t="shared" si="18"/>
        <v>0</v>
      </c>
      <c r="AI17" s="87">
        <f t="shared" si="18"/>
        <v>0</v>
      </c>
    </row>
    <row r="18" spans="1:35" s="52" customFormat="1" ht="36.75" hidden="1" customHeight="1" x14ac:dyDescent="0.2">
      <c r="A18" s="161"/>
      <c r="B18" s="161"/>
      <c r="C18" s="14" t="s">
        <v>36</v>
      </c>
      <c r="D18" s="61"/>
      <c r="E18" s="12" t="s">
        <v>107</v>
      </c>
      <c r="F18" s="3" t="s">
        <v>171</v>
      </c>
      <c r="G18" s="12" t="s">
        <v>74</v>
      </c>
      <c r="H18" s="12" t="s">
        <v>38</v>
      </c>
      <c r="I18" s="33" t="s">
        <v>35</v>
      </c>
      <c r="J18" s="33" t="s">
        <v>35</v>
      </c>
      <c r="K18" s="33" t="s">
        <v>35</v>
      </c>
      <c r="L18" s="33" t="s">
        <v>35</v>
      </c>
      <c r="M18" s="179"/>
      <c r="N18" s="24">
        <f>-I236</f>
        <v>0</v>
      </c>
      <c r="O18" s="24">
        <v>0</v>
      </c>
      <c r="P18" s="31">
        <f>-K236</f>
        <v>0</v>
      </c>
      <c r="Q18" s="24">
        <f>-L236</f>
        <v>0</v>
      </c>
      <c r="R18" s="24">
        <f>-L236</f>
        <v>0</v>
      </c>
      <c r="S18" s="24">
        <f>-M236</f>
        <v>0</v>
      </c>
      <c r="T18" s="24">
        <f>-L236</f>
        <v>0</v>
      </c>
      <c r="U18" s="24">
        <f>-K236</f>
        <v>0</v>
      </c>
      <c r="V18" s="24">
        <f>-H236</f>
        <v>0</v>
      </c>
      <c r="W18" s="24">
        <f>-I236</f>
        <v>0</v>
      </c>
      <c r="X18" s="24">
        <f>-L236</f>
        <v>0</v>
      </c>
      <c r="Y18" s="24">
        <f>-M236</f>
        <v>0</v>
      </c>
      <c r="Z18" s="258">
        <f>-L236</f>
        <v>0</v>
      </c>
      <c r="AA18" s="258"/>
      <c r="AB18" s="258">
        <f>-L236</f>
        <v>0</v>
      </c>
      <c r="AC18" s="258">
        <f>-L236</f>
        <v>0</v>
      </c>
      <c r="AD18" s="258"/>
      <c r="AE18" s="258"/>
      <c r="AF18" s="24">
        <f>-N236</f>
        <v>0</v>
      </c>
      <c r="AG18" s="24">
        <v>0</v>
      </c>
      <c r="AH18" s="24">
        <v>0</v>
      </c>
      <c r="AI18" s="24">
        <v>0</v>
      </c>
    </row>
    <row r="19" spans="1:35" s="52" customFormat="1" ht="28.5" customHeight="1" x14ac:dyDescent="0.2">
      <c r="A19" s="161"/>
      <c r="B19" s="161"/>
      <c r="C19" s="83" t="s">
        <v>36</v>
      </c>
      <c r="D19" s="84"/>
      <c r="E19" s="84" t="s">
        <v>107</v>
      </c>
      <c r="F19" s="85" t="s">
        <v>168</v>
      </c>
      <c r="G19" s="84" t="s">
        <v>33</v>
      </c>
      <c r="H19" s="84" t="s">
        <v>33</v>
      </c>
      <c r="I19" s="86" t="s">
        <v>33</v>
      </c>
      <c r="J19" s="86" t="s">
        <v>33</v>
      </c>
      <c r="K19" s="86" t="s">
        <v>33</v>
      </c>
      <c r="L19" s="86" t="s">
        <v>33</v>
      </c>
      <c r="M19" s="178"/>
      <c r="N19" s="87">
        <f>SUM(N20+N21)</f>
        <v>310</v>
      </c>
      <c r="O19" s="87">
        <f t="shared" ref="O19:AI19" si="21">SUM(O20+O21)</f>
        <v>0</v>
      </c>
      <c r="P19" s="120">
        <f t="shared" ref="P19:AF19" si="22">SUM(P20+P21)</f>
        <v>0</v>
      </c>
      <c r="Q19" s="87">
        <f t="shared" si="22"/>
        <v>0</v>
      </c>
      <c r="R19" s="87">
        <f t="shared" si="22"/>
        <v>0</v>
      </c>
      <c r="S19" s="87">
        <f t="shared" si="22"/>
        <v>0</v>
      </c>
      <c r="T19" s="87">
        <f t="shared" si="22"/>
        <v>0</v>
      </c>
      <c r="U19" s="87">
        <f t="shared" si="22"/>
        <v>0</v>
      </c>
      <c r="V19" s="87">
        <f t="shared" si="22"/>
        <v>0</v>
      </c>
      <c r="W19" s="87">
        <f t="shared" si="22"/>
        <v>0</v>
      </c>
      <c r="X19" s="87">
        <f t="shared" si="22"/>
        <v>0</v>
      </c>
      <c r="Y19" s="87">
        <f t="shared" ref="Y19:Z19" si="23">SUM(Y20+Y21)</f>
        <v>0</v>
      </c>
      <c r="Z19" s="257">
        <f t="shared" si="23"/>
        <v>0</v>
      </c>
      <c r="AA19" s="257"/>
      <c r="AB19" s="257">
        <f t="shared" ref="AB19:AC19" si="24">SUM(AB20+AB21)</f>
        <v>0</v>
      </c>
      <c r="AC19" s="257">
        <f t="shared" si="24"/>
        <v>0</v>
      </c>
      <c r="AD19" s="257"/>
      <c r="AE19" s="257"/>
      <c r="AF19" s="87">
        <f t="shared" si="22"/>
        <v>310</v>
      </c>
      <c r="AG19" s="87">
        <f t="shared" ref="AG19" si="25">SUM(AG20+AG21)</f>
        <v>0</v>
      </c>
      <c r="AH19" s="87">
        <f t="shared" si="21"/>
        <v>0</v>
      </c>
      <c r="AI19" s="87">
        <f t="shared" si="21"/>
        <v>0</v>
      </c>
    </row>
    <row r="20" spans="1:35" ht="30" x14ac:dyDescent="0.25">
      <c r="A20" s="162"/>
      <c r="B20" s="161" t="s">
        <v>255</v>
      </c>
      <c r="C20" s="19" t="s">
        <v>36</v>
      </c>
      <c r="D20" s="16">
        <v>80110</v>
      </c>
      <c r="E20" s="12" t="s">
        <v>107</v>
      </c>
      <c r="F20" s="18" t="s">
        <v>99</v>
      </c>
      <c r="G20" s="17" t="s">
        <v>74</v>
      </c>
      <c r="H20" s="17" t="s">
        <v>38</v>
      </c>
      <c r="I20" s="17">
        <v>1</v>
      </c>
      <c r="J20" s="30">
        <v>45656</v>
      </c>
      <c r="K20" s="17">
        <v>0</v>
      </c>
      <c r="L20" s="17">
        <v>0</v>
      </c>
      <c r="M20" s="180"/>
      <c r="N20" s="25">
        <v>310</v>
      </c>
      <c r="O20" s="25">
        <v>0</v>
      </c>
      <c r="P20" s="188"/>
      <c r="Q20" s="25"/>
      <c r="R20" s="25"/>
      <c r="S20" s="25"/>
      <c r="T20" s="25"/>
      <c r="U20" s="25"/>
      <c r="V20" s="25"/>
      <c r="W20" s="25"/>
      <c r="X20" s="25"/>
      <c r="Y20" s="25"/>
      <c r="Z20" s="259"/>
      <c r="AA20" s="259"/>
      <c r="AB20" s="259"/>
      <c r="AC20" s="259"/>
      <c r="AD20" s="259"/>
      <c r="AE20" s="259"/>
      <c r="AF20" s="25">
        <f>SUM(N20:AC20)-O20</f>
        <v>310</v>
      </c>
      <c r="AG20" s="25">
        <v>0</v>
      </c>
      <c r="AH20" s="25">
        <v>0</v>
      </c>
      <c r="AI20" s="25">
        <v>0</v>
      </c>
    </row>
    <row r="21" spans="1:35" ht="39.75" hidden="1" customHeight="1" x14ac:dyDescent="0.25">
      <c r="A21" s="162"/>
      <c r="C21" s="19" t="s">
        <v>36</v>
      </c>
      <c r="D21" s="16"/>
      <c r="E21" s="12" t="s">
        <v>173</v>
      </c>
      <c r="F21" s="3" t="s">
        <v>172</v>
      </c>
      <c r="G21" s="17" t="s">
        <v>74</v>
      </c>
      <c r="H21" s="17" t="s">
        <v>38</v>
      </c>
      <c r="I21" s="17" t="s">
        <v>35</v>
      </c>
      <c r="J21" s="30" t="s">
        <v>35</v>
      </c>
      <c r="K21" s="17" t="s">
        <v>35</v>
      </c>
      <c r="L21" s="17" t="s">
        <v>35</v>
      </c>
      <c r="M21" s="180"/>
      <c r="N21" s="25">
        <v>0</v>
      </c>
      <c r="O21" s="25">
        <v>0</v>
      </c>
      <c r="P21" s="188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9">
        <v>0</v>
      </c>
      <c r="AA21" s="259"/>
      <c r="AB21" s="259">
        <v>0</v>
      </c>
      <c r="AC21" s="259">
        <v>0</v>
      </c>
      <c r="AD21" s="259"/>
      <c r="AE21" s="259"/>
      <c r="AF21" s="25">
        <v>0</v>
      </c>
      <c r="AG21" s="25">
        <v>0</v>
      </c>
      <c r="AH21" s="25">
        <v>0</v>
      </c>
      <c r="AI21" s="25">
        <v>0</v>
      </c>
    </row>
    <row r="22" spans="1:35" s="52" customFormat="1" ht="27.75" customHeight="1" x14ac:dyDescent="0.2">
      <c r="A22" s="161"/>
      <c r="B22" s="161"/>
      <c r="C22" s="88" t="s">
        <v>36</v>
      </c>
      <c r="D22" s="84"/>
      <c r="E22" s="84" t="s">
        <v>107</v>
      </c>
      <c r="F22" s="85" t="s">
        <v>169</v>
      </c>
      <c r="G22" s="84" t="s">
        <v>33</v>
      </c>
      <c r="H22" s="84" t="s">
        <v>33</v>
      </c>
      <c r="I22" s="86" t="s">
        <v>33</v>
      </c>
      <c r="J22" s="86" t="s">
        <v>33</v>
      </c>
      <c r="K22" s="86" t="s">
        <v>33</v>
      </c>
      <c r="L22" s="86" t="s">
        <v>33</v>
      </c>
      <c r="M22" s="178"/>
      <c r="N22" s="87">
        <f>N23</f>
        <v>950</v>
      </c>
      <c r="O22" s="87">
        <f t="shared" ref="O22:AI22" si="26">O23</f>
        <v>0</v>
      </c>
      <c r="P22" s="120">
        <f t="shared" ref="P22:AF22" si="27">P23</f>
        <v>0</v>
      </c>
      <c r="Q22" s="87">
        <f t="shared" si="27"/>
        <v>0</v>
      </c>
      <c r="R22" s="87">
        <f t="shared" si="27"/>
        <v>0</v>
      </c>
      <c r="S22" s="87">
        <f t="shared" si="27"/>
        <v>0</v>
      </c>
      <c r="T22" s="87">
        <f t="shared" si="27"/>
        <v>0</v>
      </c>
      <c r="U22" s="87">
        <f t="shared" si="27"/>
        <v>0</v>
      </c>
      <c r="V22" s="87">
        <f t="shared" si="27"/>
        <v>0</v>
      </c>
      <c r="W22" s="87">
        <f t="shared" si="27"/>
        <v>0</v>
      </c>
      <c r="X22" s="87">
        <f t="shared" si="27"/>
        <v>0</v>
      </c>
      <c r="Y22" s="87">
        <f t="shared" si="27"/>
        <v>0</v>
      </c>
      <c r="Z22" s="257">
        <f t="shared" si="27"/>
        <v>0</v>
      </c>
      <c r="AA22" s="257"/>
      <c r="AB22" s="257">
        <f t="shared" ref="AB22:AC22" si="28">AB23</f>
        <v>0</v>
      </c>
      <c r="AC22" s="257">
        <f t="shared" si="28"/>
        <v>0</v>
      </c>
      <c r="AD22" s="257"/>
      <c r="AE22" s="257"/>
      <c r="AF22" s="87">
        <f t="shared" si="27"/>
        <v>950</v>
      </c>
      <c r="AG22" s="87">
        <f t="shared" si="26"/>
        <v>0</v>
      </c>
      <c r="AH22" s="87">
        <f t="shared" si="26"/>
        <v>0</v>
      </c>
      <c r="AI22" s="87">
        <f t="shared" si="26"/>
        <v>0</v>
      </c>
    </row>
    <row r="23" spans="1:35" ht="42.75" customHeight="1" x14ac:dyDescent="0.25">
      <c r="B23" s="161" t="s">
        <v>256</v>
      </c>
      <c r="C23" s="14" t="s">
        <v>36</v>
      </c>
      <c r="D23" s="13">
        <v>80110</v>
      </c>
      <c r="E23" s="12" t="s">
        <v>107</v>
      </c>
      <c r="F23" s="3" t="s">
        <v>88</v>
      </c>
      <c r="G23" s="12" t="s">
        <v>74</v>
      </c>
      <c r="H23" s="12" t="s">
        <v>69</v>
      </c>
      <c r="I23" s="12">
        <v>1</v>
      </c>
      <c r="J23" s="30">
        <v>45656</v>
      </c>
      <c r="K23" s="12">
        <v>0</v>
      </c>
      <c r="L23" s="12">
        <v>0</v>
      </c>
      <c r="M23" s="174"/>
      <c r="N23" s="24">
        <v>950</v>
      </c>
      <c r="O23" s="24">
        <v>0</v>
      </c>
      <c r="P23" s="31"/>
      <c r="Q23" s="24"/>
      <c r="R23" s="24"/>
      <c r="S23" s="24"/>
      <c r="T23" s="24"/>
      <c r="U23" s="24"/>
      <c r="V23" s="24"/>
      <c r="W23" s="24"/>
      <c r="X23" s="24"/>
      <c r="Y23" s="24"/>
      <c r="Z23" s="258"/>
      <c r="AA23" s="258"/>
      <c r="AB23" s="258"/>
      <c r="AC23" s="258"/>
      <c r="AD23" s="258"/>
      <c r="AE23" s="258"/>
      <c r="AF23" s="25">
        <f>SUM(N23:AC23)-O23</f>
        <v>950</v>
      </c>
      <c r="AG23" s="24">
        <v>0</v>
      </c>
      <c r="AH23" s="24">
        <v>0</v>
      </c>
      <c r="AI23" s="24">
        <v>0</v>
      </c>
    </row>
    <row r="24" spans="1:35" s="52" customFormat="1" ht="36" customHeight="1" x14ac:dyDescent="0.2">
      <c r="A24" s="161"/>
      <c r="B24" s="161"/>
      <c r="C24" s="83" t="s">
        <v>36</v>
      </c>
      <c r="D24" s="84"/>
      <c r="E24" s="84" t="s">
        <v>107</v>
      </c>
      <c r="F24" s="85" t="s">
        <v>170</v>
      </c>
      <c r="G24" s="84" t="s">
        <v>33</v>
      </c>
      <c r="H24" s="84" t="s">
        <v>33</v>
      </c>
      <c r="I24" s="86" t="s">
        <v>33</v>
      </c>
      <c r="J24" s="86" t="s">
        <v>33</v>
      </c>
      <c r="K24" s="86" t="s">
        <v>33</v>
      </c>
      <c r="L24" s="86" t="s">
        <v>33</v>
      </c>
      <c r="M24" s="178"/>
      <c r="N24" s="87">
        <f>N25</f>
        <v>290</v>
      </c>
      <c r="O24" s="87">
        <f t="shared" ref="O24:AI24" si="29">O25</f>
        <v>0</v>
      </c>
      <c r="P24" s="120">
        <f t="shared" ref="P24:AF24" si="30">P25</f>
        <v>0</v>
      </c>
      <c r="Q24" s="87">
        <f t="shared" si="30"/>
        <v>0</v>
      </c>
      <c r="R24" s="87">
        <f t="shared" si="30"/>
        <v>0</v>
      </c>
      <c r="S24" s="87">
        <f t="shared" si="30"/>
        <v>0</v>
      </c>
      <c r="T24" s="87">
        <f t="shared" si="30"/>
        <v>0</v>
      </c>
      <c r="U24" s="87">
        <f t="shared" si="30"/>
        <v>0</v>
      </c>
      <c r="V24" s="87">
        <f t="shared" si="30"/>
        <v>0</v>
      </c>
      <c r="W24" s="87">
        <f t="shared" si="30"/>
        <v>0</v>
      </c>
      <c r="X24" s="87">
        <f t="shared" si="30"/>
        <v>0</v>
      </c>
      <c r="Y24" s="87">
        <f t="shared" si="30"/>
        <v>0</v>
      </c>
      <c r="Z24" s="257">
        <f t="shared" si="30"/>
        <v>0</v>
      </c>
      <c r="AA24" s="257"/>
      <c r="AB24" s="257">
        <f t="shared" ref="AB24:AC24" si="31">AB25</f>
        <v>0</v>
      </c>
      <c r="AC24" s="257">
        <f t="shared" si="31"/>
        <v>0</v>
      </c>
      <c r="AD24" s="257"/>
      <c r="AE24" s="257"/>
      <c r="AF24" s="87">
        <f t="shared" si="30"/>
        <v>290</v>
      </c>
      <c r="AG24" s="87">
        <f t="shared" si="29"/>
        <v>0</v>
      </c>
      <c r="AH24" s="87">
        <f t="shared" si="29"/>
        <v>0</v>
      </c>
      <c r="AI24" s="87">
        <f t="shared" si="29"/>
        <v>0</v>
      </c>
    </row>
    <row r="25" spans="1:35" ht="75.75" customHeight="1" x14ac:dyDescent="0.25">
      <c r="A25" s="162"/>
      <c r="B25" s="161" t="s">
        <v>257</v>
      </c>
      <c r="C25" s="14" t="s">
        <v>36</v>
      </c>
      <c r="D25" s="13">
        <v>80110</v>
      </c>
      <c r="E25" s="12" t="s">
        <v>107</v>
      </c>
      <c r="F25" s="3" t="s">
        <v>91</v>
      </c>
      <c r="G25" s="12" t="s">
        <v>74</v>
      </c>
      <c r="H25" s="12" t="s">
        <v>38</v>
      </c>
      <c r="I25" s="12">
        <v>1</v>
      </c>
      <c r="J25" s="30">
        <v>45656</v>
      </c>
      <c r="K25" s="12">
        <v>0</v>
      </c>
      <c r="L25" s="12">
        <v>0</v>
      </c>
      <c r="M25" s="174"/>
      <c r="N25" s="24">
        <v>290</v>
      </c>
      <c r="O25" s="24">
        <v>0</v>
      </c>
      <c r="P25" s="31"/>
      <c r="Q25" s="24"/>
      <c r="R25" s="24"/>
      <c r="S25" s="24"/>
      <c r="T25" s="24"/>
      <c r="U25" s="24"/>
      <c r="V25" s="24"/>
      <c r="W25" s="24"/>
      <c r="X25" s="24"/>
      <c r="Y25" s="24"/>
      <c r="Z25" s="258"/>
      <c r="AA25" s="258"/>
      <c r="AB25" s="258"/>
      <c r="AC25" s="258"/>
      <c r="AD25" s="258"/>
      <c r="AE25" s="258"/>
      <c r="AF25" s="25">
        <f>SUM(N25:AC25)-O25</f>
        <v>290</v>
      </c>
      <c r="AG25" s="24">
        <v>0</v>
      </c>
      <c r="AH25" s="24">
        <v>0</v>
      </c>
      <c r="AI25" s="24">
        <v>0</v>
      </c>
    </row>
    <row r="26" spans="1:35" s="52" customFormat="1" ht="35.25" hidden="1" customHeight="1" x14ac:dyDescent="0.2">
      <c r="A26" s="161"/>
      <c r="B26" s="161"/>
      <c r="C26" s="14" t="s">
        <v>36</v>
      </c>
      <c r="D26" s="12"/>
      <c r="E26" s="12" t="s">
        <v>107</v>
      </c>
      <c r="F26" s="3" t="s">
        <v>174</v>
      </c>
      <c r="G26" s="12" t="s">
        <v>74</v>
      </c>
      <c r="H26" s="12" t="s">
        <v>38</v>
      </c>
      <c r="I26" s="33" t="s">
        <v>35</v>
      </c>
      <c r="J26" s="33" t="s">
        <v>35</v>
      </c>
      <c r="K26" s="33" t="s">
        <v>35</v>
      </c>
      <c r="L26" s="33" t="s">
        <v>35</v>
      </c>
      <c r="M26" s="179"/>
      <c r="N26" s="24">
        <v>0</v>
      </c>
      <c r="O26" s="24">
        <v>0</v>
      </c>
      <c r="P26" s="31">
        <v>0</v>
      </c>
      <c r="Q26" s="24">
        <v>0</v>
      </c>
      <c r="R26" s="24">
        <v>0</v>
      </c>
      <c r="S26" s="24"/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58">
        <v>0</v>
      </c>
      <c r="AA26" s="258"/>
      <c r="AB26" s="258">
        <v>0</v>
      </c>
      <c r="AC26" s="258">
        <v>0</v>
      </c>
      <c r="AD26" s="258"/>
      <c r="AE26" s="258"/>
      <c r="AF26" s="24">
        <v>0</v>
      </c>
      <c r="AG26" s="24">
        <v>0</v>
      </c>
      <c r="AH26" s="24">
        <v>0</v>
      </c>
      <c r="AI26" s="24">
        <v>0</v>
      </c>
    </row>
    <row r="27" spans="1:35" s="52" customFormat="1" ht="50.25" hidden="1" customHeight="1" x14ac:dyDescent="0.2">
      <c r="A27" s="161"/>
      <c r="B27" s="161"/>
      <c r="C27" s="14" t="s">
        <v>36</v>
      </c>
      <c r="D27" s="12"/>
      <c r="E27" s="12" t="s">
        <v>107</v>
      </c>
      <c r="F27" s="3" t="s">
        <v>175</v>
      </c>
      <c r="G27" s="12" t="s">
        <v>74</v>
      </c>
      <c r="H27" s="12" t="s">
        <v>38</v>
      </c>
      <c r="I27" s="33" t="s">
        <v>35</v>
      </c>
      <c r="J27" s="33" t="s">
        <v>35</v>
      </c>
      <c r="K27" s="33" t="s">
        <v>35</v>
      </c>
      <c r="L27" s="33" t="s">
        <v>35</v>
      </c>
      <c r="M27" s="179"/>
      <c r="N27" s="24">
        <v>0</v>
      </c>
      <c r="O27" s="24">
        <v>0</v>
      </c>
      <c r="P27" s="31">
        <v>0</v>
      </c>
      <c r="Q27" s="24">
        <v>0</v>
      </c>
      <c r="R27" s="24">
        <v>0</v>
      </c>
      <c r="S27" s="24"/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58">
        <v>0</v>
      </c>
      <c r="AA27" s="258"/>
      <c r="AB27" s="258">
        <v>0</v>
      </c>
      <c r="AC27" s="258">
        <v>0</v>
      </c>
      <c r="AD27" s="258"/>
      <c r="AE27" s="258"/>
      <c r="AF27" s="24">
        <v>0</v>
      </c>
      <c r="AG27" s="24">
        <v>0</v>
      </c>
      <c r="AH27" s="24">
        <v>0</v>
      </c>
      <c r="AI27" s="24">
        <v>0</v>
      </c>
    </row>
    <row r="28" spans="1:35" s="52" customFormat="1" ht="50.25" hidden="1" customHeight="1" x14ac:dyDescent="0.2">
      <c r="A28" s="161"/>
      <c r="B28" s="161"/>
      <c r="C28" s="14" t="s">
        <v>36</v>
      </c>
      <c r="D28" s="12"/>
      <c r="E28" s="12" t="s">
        <v>107</v>
      </c>
      <c r="F28" s="3" t="s">
        <v>176</v>
      </c>
      <c r="G28" s="12" t="s">
        <v>74</v>
      </c>
      <c r="H28" s="12" t="s">
        <v>38</v>
      </c>
      <c r="I28" s="33" t="s">
        <v>35</v>
      </c>
      <c r="J28" s="33" t="s">
        <v>35</v>
      </c>
      <c r="K28" s="33" t="s">
        <v>35</v>
      </c>
      <c r="L28" s="33" t="s">
        <v>35</v>
      </c>
      <c r="M28" s="179"/>
      <c r="N28" s="24">
        <v>0</v>
      </c>
      <c r="O28" s="24">
        <v>0</v>
      </c>
      <c r="P28" s="31">
        <v>0</v>
      </c>
      <c r="Q28" s="24">
        <v>0</v>
      </c>
      <c r="R28" s="24">
        <v>0</v>
      </c>
      <c r="S28" s="24"/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58">
        <v>0</v>
      </c>
      <c r="AA28" s="258"/>
      <c r="AB28" s="258">
        <v>0</v>
      </c>
      <c r="AC28" s="258">
        <v>0</v>
      </c>
      <c r="AD28" s="258"/>
      <c r="AE28" s="258"/>
      <c r="AF28" s="24">
        <v>0</v>
      </c>
      <c r="AG28" s="24">
        <v>0</v>
      </c>
      <c r="AH28" s="24">
        <v>0</v>
      </c>
      <c r="AI28" s="24">
        <v>0</v>
      </c>
    </row>
    <row r="29" spans="1:35" s="52" customFormat="1" ht="63.75" customHeight="1" x14ac:dyDescent="0.2">
      <c r="A29" s="161"/>
      <c r="B29" s="161"/>
      <c r="C29" s="78" t="s">
        <v>37</v>
      </c>
      <c r="D29" s="79" t="s">
        <v>33</v>
      </c>
      <c r="E29" s="79" t="s">
        <v>33</v>
      </c>
      <c r="F29" s="80" t="s">
        <v>156</v>
      </c>
      <c r="G29" s="79" t="s">
        <v>74</v>
      </c>
      <c r="H29" s="79" t="s">
        <v>38</v>
      </c>
      <c r="I29" s="81">
        <v>0</v>
      </c>
      <c r="J29" s="81" t="s">
        <v>33</v>
      </c>
      <c r="K29" s="81">
        <v>0</v>
      </c>
      <c r="L29" s="81">
        <v>0</v>
      </c>
      <c r="M29" s="190"/>
      <c r="N29" s="82">
        <f>N31</f>
        <v>2000</v>
      </c>
      <c r="O29" s="82">
        <f t="shared" ref="O29:AI29" si="32">O31</f>
        <v>0</v>
      </c>
      <c r="P29" s="82">
        <f t="shared" ref="P29:AF29" si="33">P31</f>
        <v>0</v>
      </c>
      <c r="Q29" s="82">
        <f t="shared" si="33"/>
        <v>0</v>
      </c>
      <c r="R29" s="82">
        <f t="shared" si="33"/>
        <v>0</v>
      </c>
      <c r="S29" s="82">
        <f t="shared" si="33"/>
        <v>0</v>
      </c>
      <c r="T29" s="82">
        <f t="shared" si="33"/>
        <v>0</v>
      </c>
      <c r="U29" s="82">
        <f t="shared" si="33"/>
        <v>0</v>
      </c>
      <c r="V29" s="82">
        <f t="shared" si="33"/>
        <v>0</v>
      </c>
      <c r="W29" s="82">
        <f t="shared" si="33"/>
        <v>0</v>
      </c>
      <c r="X29" s="82">
        <f t="shared" si="33"/>
        <v>0</v>
      </c>
      <c r="Y29" s="82">
        <f t="shared" ref="Y29:Z29" si="34">Y31</f>
        <v>-2000</v>
      </c>
      <c r="Z29" s="255">
        <f t="shared" si="34"/>
        <v>0</v>
      </c>
      <c r="AA29" s="255"/>
      <c r="AB29" s="255">
        <f t="shared" ref="AB29:AC29" si="35">AB31</f>
        <v>0</v>
      </c>
      <c r="AC29" s="255">
        <f t="shared" si="35"/>
        <v>0</v>
      </c>
      <c r="AD29" s="255"/>
      <c r="AE29" s="255"/>
      <c r="AF29" s="82">
        <f t="shared" si="33"/>
        <v>0</v>
      </c>
      <c r="AG29" s="82">
        <f t="shared" ref="AG29" si="36">AG31</f>
        <v>0</v>
      </c>
      <c r="AH29" s="82">
        <f t="shared" si="32"/>
        <v>0</v>
      </c>
      <c r="AI29" s="82">
        <f t="shared" si="32"/>
        <v>0</v>
      </c>
    </row>
    <row r="30" spans="1:35" s="52" customFormat="1" ht="84.75" customHeight="1" x14ac:dyDescent="0.2">
      <c r="A30" s="161"/>
      <c r="B30" s="161"/>
      <c r="C30" s="125" t="s">
        <v>37</v>
      </c>
      <c r="D30" s="126">
        <v>80210</v>
      </c>
      <c r="E30" s="126" t="s">
        <v>33</v>
      </c>
      <c r="F30" s="127" t="s">
        <v>462</v>
      </c>
      <c r="G30" s="126" t="s">
        <v>33</v>
      </c>
      <c r="H30" s="126" t="s">
        <v>33</v>
      </c>
      <c r="I30" s="128" t="s">
        <v>33</v>
      </c>
      <c r="J30" s="128" t="s">
        <v>33</v>
      </c>
      <c r="K30" s="128" t="s">
        <v>33</v>
      </c>
      <c r="L30" s="128" t="s">
        <v>33</v>
      </c>
      <c r="M30" s="190"/>
      <c r="N30" s="129">
        <f>N31</f>
        <v>2000</v>
      </c>
      <c r="O30" s="129">
        <f t="shared" ref="O30:AI30" si="37">O31</f>
        <v>0</v>
      </c>
      <c r="P30" s="129">
        <f t="shared" ref="P30:AF31" si="38">P31</f>
        <v>0</v>
      </c>
      <c r="Q30" s="129">
        <f t="shared" si="38"/>
        <v>0</v>
      </c>
      <c r="R30" s="129">
        <f t="shared" si="38"/>
        <v>0</v>
      </c>
      <c r="S30" s="129">
        <f t="shared" si="38"/>
        <v>0</v>
      </c>
      <c r="T30" s="129">
        <f t="shared" si="38"/>
        <v>0</v>
      </c>
      <c r="U30" s="129">
        <f t="shared" si="38"/>
        <v>0</v>
      </c>
      <c r="V30" s="129">
        <f t="shared" si="38"/>
        <v>0</v>
      </c>
      <c r="W30" s="129">
        <f t="shared" si="38"/>
        <v>0</v>
      </c>
      <c r="X30" s="129">
        <f t="shared" si="38"/>
        <v>0</v>
      </c>
      <c r="Y30" s="129">
        <f t="shared" si="38"/>
        <v>-2000</v>
      </c>
      <c r="Z30" s="256">
        <f t="shared" si="38"/>
        <v>0</v>
      </c>
      <c r="AA30" s="256"/>
      <c r="AB30" s="256">
        <f t="shared" ref="AB30:AC31" si="39">AB31</f>
        <v>0</v>
      </c>
      <c r="AC30" s="256">
        <f t="shared" si="39"/>
        <v>0</v>
      </c>
      <c r="AD30" s="256"/>
      <c r="AE30" s="256"/>
      <c r="AF30" s="129">
        <f t="shared" si="38"/>
        <v>0</v>
      </c>
      <c r="AG30" s="129">
        <f t="shared" si="37"/>
        <v>0</v>
      </c>
      <c r="AH30" s="129">
        <f t="shared" si="37"/>
        <v>0</v>
      </c>
      <c r="AI30" s="129">
        <f t="shared" si="37"/>
        <v>0</v>
      </c>
    </row>
    <row r="31" spans="1:35" s="52" customFormat="1" ht="30.75" customHeight="1" x14ac:dyDescent="0.2">
      <c r="A31" s="161"/>
      <c r="B31" s="161"/>
      <c r="C31" s="83" t="s">
        <v>37</v>
      </c>
      <c r="D31" s="84"/>
      <c r="E31" s="84"/>
      <c r="F31" s="85" t="s">
        <v>168</v>
      </c>
      <c r="G31" s="84" t="s">
        <v>33</v>
      </c>
      <c r="H31" s="84" t="s">
        <v>33</v>
      </c>
      <c r="I31" s="86" t="s">
        <v>33</v>
      </c>
      <c r="J31" s="86" t="s">
        <v>33</v>
      </c>
      <c r="K31" s="86" t="s">
        <v>33</v>
      </c>
      <c r="L31" s="86" t="s">
        <v>33</v>
      </c>
      <c r="M31" s="178"/>
      <c r="N31" s="87">
        <f>N32</f>
        <v>2000</v>
      </c>
      <c r="O31" s="87">
        <f t="shared" ref="O31:AI31" si="40">O32</f>
        <v>0</v>
      </c>
      <c r="P31" s="87">
        <f t="shared" si="38"/>
        <v>0</v>
      </c>
      <c r="Q31" s="87">
        <f t="shared" si="38"/>
        <v>0</v>
      </c>
      <c r="R31" s="87">
        <f t="shared" si="38"/>
        <v>0</v>
      </c>
      <c r="S31" s="87">
        <f t="shared" si="38"/>
        <v>0</v>
      </c>
      <c r="T31" s="87">
        <f t="shared" si="38"/>
        <v>0</v>
      </c>
      <c r="U31" s="87">
        <f t="shared" si="38"/>
        <v>0</v>
      </c>
      <c r="V31" s="87">
        <f t="shared" si="38"/>
        <v>0</v>
      </c>
      <c r="W31" s="87">
        <f t="shared" si="38"/>
        <v>0</v>
      </c>
      <c r="X31" s="87">
        <f t="shared" si="38"/>
        <v>0</v>
      </c>
      <c r="Y31" s="87">
        <f t="shared" si="38"/>
        <v>-2000</v>
      </c>
      <c r="Z31" s="257">
        <f t="shared" si="38"/>
        <v>0</v>
      </c>
      <c r="AA31" s="257"/>
      <c r="AB31" s="257">
        <f t="shared" si="39"/>
        <v>0</v>
      </c>
      <c r="AC31" s="257">
        <f t="shared" si="39"/>
        <v>0</v>
      </c>
      <c r="AD31" s="257"/>
      <c r="AE31" s="257"/>
      <c r="AF31" s="87">
        <f t="shared" si="38"/>
        <v>0</v>
      </c>
      <c r="AG31" s="87">
        <f t="shared" si="40"/>
        <v>0</v>
      </c>
      <c r="AH31" s="87">
        <f t="shared" si="40"/>
        <v>0</v>
      </c>
      <c r="AI31" s="87">
        <f t="shared" si="40"/>
        <v>0</v>
      </c>
    </row>
    <row r="32" spans="1:35" ht="45" x14ac:dyDescent="0.25">
      <c r="A32" s="162"/>
      <c r="B32" s="160" t="s">
        <v>258</v>
      </c>
      <c r="C32" s="19" t="s">
        <v>37</v>
      </c>
      <c r="D32" s="16">
        <v>80210</v>
      </c>
      <c r="E32" s="17" t="s">
        <v>83</v>
      </c>
      <c r="F32" s="18" t="s">
        <v>177</v>
      </c>
      <c r="G32" s="17" t="s">
        <v>74</v>
      </c>
      <c r="H32" s="17" t="s">
        <v>38</v>
      </c>
      <c r="I32" s="17">
        <v>0</v>
      </c>
      <c r="J32" s="30"/>
      <c r="K32" s="17">
        <v>0</v>
      </c>
      <c r="L32" s="17">
        <v>0</v>
      </c>
      <c r="M32" s="180"/>
      <c r="N32" s="25">
        <v>2000</v>
      </c>
      <c r="O32" s="25">
        <v>0</v>
      </c>
      <c r="P32" s="25"/>
      <c r="Q32" s="25"/>
      <c r="R32" s="25"/>
      <c r="S32" s="25"/>
      <c r="T32" s="25"/>
      <c r="U32" s="25"/>
      <c r="V32" s="25"/>
      <c r="W32" s="25"/>
      <c r="X32" s="25"/>
      <c r="Y32" s="25">
        <v>-2000</v>
      </c>
      <c r="Z32" s="259"/>
      <c r="AA32" s="259"/>
      <c r="AB32" s="259"/>
      <c r="AC32" s="259"/>
      <c r="AD32" s="259"/>
      <c r="AE32" s="259"/>
      <c r="AF32" s="25">
        <f>SUM(N32:AC32)-O32</f>
        <v>0</v>
      </c>
      <c r="AG32" s="25">
        <v>0</v>
      </c>
      <c r="AH32" s="25">
        <v>0</v>
      </c>
      <c r="AI32" s="25">
        <v>0</v>
      </c>
    </row>
    <row r="33" spans="1:35" ht="42.75" x14ac:dyDescent="0.25">
      <c r="A33" s="162"/>
      <c r="C33" s="95" t="s">
        <v>41</v>
      </c>
      <c r="D33" s="96" t="s">
        <v>33</v>
      </c>
      <c r="E33" s="97" t="s">
        <v>33</v>
      </c>
      <c r="F33" s="98" t="s">
        <v>178</v>
      </c>
      <c r="G33" s="97" t="s">
        <v>74</v>
      </c>
      <c r="H33" s="97" t="s">
        <v>182</v>
      </c>
      <c r="I33" s="154">
        <v>1</v>
      </c>
      <c r="J33" s="97" t="s">
        <v>33</v>
      </c>
      <c r="K33" s="154">
        <v>1</v>
      </c>
      <c r="L33" s="154">
        <v>1</v>
      </c>
      <c r="M33" s="196"/>
      <c r="N33" s="99">
        <f>N35</f>
        <v>134.85</v>
      </c>
      <c r="O33" s="99">
        <f t="shared" ref="O33:AI33" si="41">O35</f>
        <v>0</v>
      </c>
      <c r="P33" s="99">
        <f t="shared" ref="P33:AF33" si="42">P35</f>
        <v>0</v>
      </c>
      <c r="Q33" s="99">
        <f t="shared" si="42"/>
        <v>0</v>
      </c>
      <c r="R33" s="99">
        <f t="shared" si="42"/>
        <v>0</v>
      </c>
      <c r="S33" s="99">
        <f t="shared" si="42"/>
        <v>0</v>
      </c>
      <c r="T33" s="99">
        <f t="shared" si="42"/>
        <v>0</v>
      </c>
      <c r="U33" s="99">
        <f t="shared" si="42"/>
        <v>0</v>
      </c>
      <c r="V33" s="99">
        <f t="shared" si="42"/>
        <v>0</v>
      </c>
      <c r="W33" s="99">
        <f t="shared" si="42"/>
        <v>0</v>
      </c>
      <c r="X33" s="99">
        <f t="shared" si="42"/>
        <v>69.27</v>
      </c>
      <c r="Y33" s="99">
        <f t="shared" ref="Y33:Z33" si="43">Y35</f>
        <v>0</v>
      </c>
      <c r="Z33" s="260">
        <f t="shared" si="43"/>
        <v>0</v>
      </c>
      <c r="AA33" s="260"/>
      <c r="AB33" s="260">
        <f t="shared" ref="AB33:AC33" si="44">AB35</f>
        <v>0</v>
      </c>
      <c r="AC33" s="260">
        <f t="shared" si="44"/>
        <v>0</v>
      </c>
      <c r="AD33" s="260"/>
      <c r="AE33" s="260"/>
      <c r="AF33" s="99">
        <f t="shared" si="42"/>
        <v>204.12</v>
      </c>
      <c r="AG33" s="99">
        <f t="shared" ref="AG33" si="45">AG35</f>
        <v>0</v>
      </c>
      <c r="AH33" s="99">
        <f t="shared" si="41"/>
        <v>134.85</v>
      </c>
      <c r="AI33" s="99">
        <f t="shared" si="41"/>
        <v>134.85</v>
      </c>
    </row>
    <row r="34" spans="1:35" ht="45" customHeight="1" x14ac:dyDescent="0.25">
      <c r="A34" s="162"/>
      <c r="C34" s="130" t="s">
        <v>41</v>
      </c>
      <c r="D34" s="131">
        <v>80310</v>
      </c>
      <c r="E34" s="132" t="s">
        <v>33</v>
      </c>
      <c r="F34" s="133" t="s">
        <v>463</v>
      </c>
      <c r="G34" s="132" t="s">
        <v>33</v>
      </c>
      <c r="H34" s="132" t="s">
        <v>33</v>
      </c>
      <c r="I34" s="132" t="s">
        <v>33</v>
      </c>
      <c r="J34" s="132" t="s">
        <v>33</v>
      </c>
      <c r="K34" s="132" t="s">
        <v>33</v>
      </c>
      <c r="L34" s="132" t="s">
        <v>33</v>
      </c>
      <c r="M34" s="197"/>
      <c r="N34" s="134">
        <f>N35</f>
        <v>134.85</v>
      </c>
      <c r="O34" s="134">
        <f t="shared" ref="O34:AI34" si="46">O35</f>
        <v>0</v>
      </c>
      <c r="P34" s="134">
        <f t="shared" ref="P34:AF35" si="47">P35</f>
        <v>0</v>
      </c>
      <c r="Q34" s="134">
        <f t="shared" si="47"/>
        <v>0</v>
      </c>
      <c r="R34" s="134">
        <f t="shared" si="47"/>
        <v>0</v>
      </c>
      <c r="S34" s="134">
        <f t="shared" si="47"/>
        <v>0</v>
      </c>
      <c r="T34" s="134">
        <f t="shared" si="47"/>
        <v>0</v>
      </c>
      <c r="U34" s="134">
        <f t="shared" si="47"/>
        <v>0</v>
      </c>
      <c r="V34" s="134">
        <f t="shared" si="47"/>
        <v>0</v>
      </c>
      <c r="W34" s="134">
        <f t="shared" si="47"/>
        <v>0</v>
      </c>
      <c r="X34" s="134">
        <f t="shared" si="47"/>
        <v>69.27</v>
      </c>
      <c r="Y34" s="134">
        <f t="shared" si="47"/>
        <v>0</v>
      </c>
      <c r="Z34" s="261">
        <f t="shared" si="47"/>
        <v>0</v>
      </c>
      <c r="AA34" s="261"/>
      <c r="AB34" s="261">
        <f t="shared" ref="AB34:AC35" si="48">AB35</f>
        <v>0</v>
      </c>
      <c r="AC34" s="261">
        <f t="shared" si="48"/>
        <v>0</v>
      </c>
      <c r="AD34" s="261"/>
      <c r="AE34" s="261"/>
      <c r="AF34" s="134">
        <f t="shared" si="47"/>
        <v>204.12</v>
      </c>
      <c r="AG34" s="134">
        <f t="shared" si="46"/>
        <v>0</v>
      </c>
      <c r="AH34" s="134">
        <f t="shared" si="46"/>
        <v>134.85</v>
      </c>
      <c r="AI34" s="134">
        <f t="shared" si="46"/>
        <v>134.85</v>
      </c>
    </row>
    <row r="35" spans="1:35" ht="32.25" customHeight="1" x14ac:dyDescent="0.25">
      <c r="A35" s="162"/>
      <c r="C35" s="92" t="s">
        <v>41</v>
      </c>
      <c r="D35" s="93"/>
      <c r="E35" s="84"/>
      <c r="F35" s="85" t="s">
        <v>179</v>
      </c>
      <c r="G35" s="84" t="s">
        <v>33</v>
      </c>
      <c r="H35" s="84" t="s">
        <v>33</v>
      </c>
      <c r="I35" s="84" t="s">
        <v>33</v>
      </c>
      <c r="J35" s="94" t="s">
        <v>33</v>
      </c>
      <c r="K35" s="84" t="s">
        <v>33</v>
      </c>
      <c r="L35" s="84" t="s">
        <v>33</v>
      </c>
      <c r="M35" s="185"/>
      <c r="N35" s="87">
        <f>N36</f>
        <v>134.85</v>
      </c>
      <c r="O35" s="87">
        <f t="shared" ref="O35:AI35" si="49">O36</f>
        <v>0</v>
      </c>
      <c r="P35" s="120">
        <f t="shared" si="47"/>
        <v>0</v>
      </c>
      <c r="Q35" s="87">
        <f t="shared" si="47"/>
        <v>0</v>
      </c>
      <c r="R35" s="87">
        <f t="shared" si="47"/>
        <v>0</v>
      </c>
      <c r="S35" s="87">
        <f t="shared" si="47"/>
        <v>0</v>
      </c>
      <c r="T35" s="87">
        <f t="shared" si="47"/>
        <v>0</v>
      </c>
      <c r="U35" s="87">
        <f t="shared" si="47"/>
        <v>0</v>
      </c>
      <c r="V35" s="87">
        <f t="shared" si="47"/>
        <v>0</v>
      </c>
      <c r="W35" s="87">
        <f t="shared" si="47"/>
        <v>0</v>
      </c>
      <c r="X35" s="87">
        <f t="shared" si="47"/>
        <v>69.27</v>
      </c>
      <c r="Y35" s="87">
        <f t="shared" si="47"/>
        <v>0</v>
      </c>
      <c r="Z35" s="257">
        <f t="shared" si="47"/>
        <v>0</v>
      </c>
      <c r="AA35" s="257"/>
      <c r="AB35" s="257">
        <f t="shared" si="48"/>
        <v>0</v>
      </c>
      <c r="AC35" s="257">
        <f t="shared" si="48"/>
        <v>0</v>
      </c>
      <c r="AD35" s="257"/>
      <c r="AE35" s="257"/>
      <c r="AF35" s="87">
        <f t="shared" si="47"/>
        <v>204.12</v>
      </c>
      <c r="AG35" s="87">
        <f t="shared" si="49"/>
        <v>0</v>
      </c>
      <c r="AH35" s="87">
        <f t="shared" si="49"/>
        <v>134.85</v>
      </c>
      <c r="AI35" s="87">
        <f t="shared" si="49"/>
        <v>134.85</v>
      </c>
    </row>
    <row r="36" spans="1:35" ht="36.75" customHeight="1" x14ac:dyDescent="0.25">
      <c r="B36" s="160" t="s">
        <v>259</v>
      </c>
      <c r="C36" s="14" t="s">
        <v>41</v>
      </c>
      <c r="D36" s="13">
        <v>80310</v>
      </c>
      <c r="E36" s="12" t="s">
        <v>128</v>
      </c>
      <c r="F36" s="3" t="s">
        <v>54</v>
      </c>
      <c r="G36" s="12" t="s">
        <v>74</v>
      </c>
      <c r="H36" s="12" t="s">
        <v>38</v>
      </c>
      <c r="I36" s="21">
        <v>16</v>
      </c>
      <c r="J36" s="30">
        <v>45656</v>
      </c>
      <c r="K36" s="12">
        <v>15</v>
      </c>
      <c r="L36" s="12">
        <v>15</v>
      </c>
      <c r="M36" s="198"/>
      <c r="N36" s="24">
        <v>134.85</v>
      </c>
      <c r="O36" s="24">
        <v>0</v>
      </c>
      <c r="P36" s="31"/>
      <c r="Q36" s="24"/>
      <c r="R36" s="24"/>
      <c r="S36" s="24"/>
      <c r="T36" s="24"/>
      <c r="U36" s="24"/>
      <c r="V36" s="24"/>
      <c r="W36" s="24"/>
      <c r="X36" s="24">
        <v>69.27</v>
      </c>
      <c r="Y36" s="24"/>
      <c r="Z36" s="258"/>
      <c r="AA36" s="258"/>
      <c r="AB36" s="258"/>
      <c r="AC36" s="258"/>
      <c r="AD36" s="258"/>
      <c r="AE36" s="258"/>
      <c r="AF36" s="25">
        <f>SUM(N36:AC36)-O36</f>
        <v>204.12</v>
      </c>
      <c r="AG36" s="24">
        <v>0</v>
      </c>
      <c r="AH36" s="24">
        <v>134.85</v>
      </c>
      <c r="AI36" s="24">
        <v>134.85</v>
      </c>
    </row>
    <row r="37" spans="1:35" ht="36" hidden="1" customHeight="1" x14ac:dyDescent="0.25">
      <c r="A37" s="162"/>
      <c r="C37" s="19" t="s">
        <v>41</v>
      </c>
      <c r="D37" s="16"/>
      <c r="E37" s="17" t="s">
        <v>83</v>
      </c>
      <c r="F37" s="18" t="s">
        <v>180</v>
      </c>
      <c r="G37" s="12" t="s">
        <v>74</v>
      </c>
      <c r="H37" s="12" t="s">
        <v>38</v>
      </c>
      <c r="I37" s="17" t="s">
        <v>35</v>
      </c>
      <c r="J37" s="30" t="s">
        <v>35</v>
      </c>
      <c r="K37" s="17" t="s">
        <v>35</v>
      </c>
      <c r="L37" s="17" t="s">
        <v>35</v>
      </c>
      <c r="M37" s="199"/>
      <c r="N37" s="25">
        <v>0</v>
      </c>
      <c r="O37" s="25">
        <v>0</v>
      </c>
      <c r="P37" s="188">
        <v>0</v>
      </c>
      <c r="Q37" s="25">
        <v>0</v>
      </c>
      <c r="R37" s="25">
        <v>0</v>
      </c>
      <c r="S37" s="25"/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9">
        <v>0</v>
      </c>
      <c r="AA37" s="259"/>
      <c r="AB37" s="259">
        <v>0</v>
      </c>
      <c r="AC37" s="259">
        <v>0</v>
      </c>
      <c r="AD37" s="259"/>
      <c r="AE37" s="259"/>
      <c r="AF37" s="25">
        <v>0</v>
      </c>
      <c r="AG37" s="25">
        <v>0</v>
      </c>
      <c r="AH37" s="25">
        <v>0</v>
      </c>
      <c r="AI37" s="25">
        <v>0</v>
      </c>
    </row>
    <row r="38" spans="1:35" ht="33.75" hidden="1" customHeight="1" x14ac:dyDescent="0.25">
      <c r="A38" s="162"/>
      <c r="C38" s="19" t="s">
        <v>41</v>
      </c>
      <c r="D38" s="16"/>
      <c r="E38" s="17" t="s">
        <v>83</v>
      </c>
      <c r="F38" s="18" t="s">
        <v>181</v>
      </c>
      <c r="G38" s="12" t="s">
        <v>74</v>
      </c>
      <c r="H38" s="12" t="s">
        <v>38</v>
      </c>
      <c r="I38" s="17" t="s">
        <v>35</v>
      </c>
      <c r="J38" s="30" t="s">
        <v>35</v>
      </c>
      <c r="K38" s="17" t="s">
        <v>35</v>
      </c>
      <c r="L38" s="17" t="s">
        <v>35</v>
      </c>
      <c r="M38" s="199"/>
      <c r="N38" s="25">
        <v>0</v>
      </c>
      <c r="O38" s="25">
        <v>0</v>
      </c>
      <c r="P38" s="188">
        <v>0</v>
      </c>
      <c r="Q38" s="25">
        <v>0</v>
      </c>
      <c r="R38" s="25">
        <v>0</v>
      </c>
      <c r="S38" s="25"/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9">
        <v>0</v>
      </c>
      <c r="AA38" s="259"/>
      <c r="AB38" s="259">
        <v>0</v>
      </c>
      <c r="AC38" s="259">
        <v>0</v>
      </c>
      <c r="AD38" s="259"/>
      <c r="AE38" s="259"/>
      <c r="AF38" s="25">
        <v>0</v>
      </c>
      <c r="AG38" s="25">
        <v>0</v>
      </c>
      <c r="AH38" s="25">
        <v>0</v>
      </c>
      <c r="AI38" s="25">
        <v>0</v>
      </c>
    </row>
    <row r="39" spans="1:35" ht="42.75" x14ac:dyDescent="0.25">
      <c r="A39" s="162"/>
      <c r="C39" s="95" t="s">
        <v>42</v>
      </c>
      <c r="D39" s="96" t="s">
        <v>33</v>
      </c>
      <c r="E39" s="97" t="s">
        <v>33</v>
      </c>
      <c r="F39" s="98" t="s">
        <v>240</v>
      </c>
      <c r="G39" s="97" t="s">
        <v>74</v>
      </c>
      <c r="H39" s="97" t="s">
        <v>38</v>
      </c>
      <c r="I39" s="154">
        <v>30</v>
      </c>
      <c r="J39" s="154" t="s">
        <v>33</v>
      </c>
      <c r="K39" s="154">
        <v>7</v>
      </c>
      <c r="L39" s="154">
        <v>6</v>
      </c>
      <c r="M39" s="196"/>
      <c r="N39" s="99">
        <f t="shared" ref="N39:AI39" si="50">N41+N46+N63+N69+N74+N77+N79</f>
        <v>55022.11</v>
      </c>
      <c r="O39" s="99">
        <f t="shared" si="50"/>
        <v>3000</v>
      </c>
      <c r="P39" s="99">
        <f t="shared" si="50"/>
        <v>4955.53</v>
      </c>
      <c r="Q39" s="99">
        <f t="shared" si="50"/>
        <v>0</v>
      </c>
      <c r="R39" s="99">
        <f t="shared" si="50"/>
        <v>8385.49</v>
      </c>
      <c r="S39" s="99">
        <f t="shared" si="50"/>
        <v>876.4</v>
      </c>
      <c r="T39" s="99">
        <f t="shared" si="50"/>
        <v>1574.73</v>
      </c>
      <c r="U39" s="99">
        <f t="shared" si="50"/>
        <v>-1.4210854715202004E-13</v>
      </c>
      <c r="V39" s="99">
        <f t="shared" si="50"/>
        <v>0</v>
      </c>
      <c r="W39" s="99">
        <f t="shared" si="50"/>
        <v>0</v>
      </c>
      <c r="X39" s="99">
        <f t="shared" si="50"/>
        <v>4697.5499999999993</v>
      </c>
      <c r="Y39" s="99">
        <f t="shared" si="50"/>
        <v>0</v>
      </c>
      <c r="Z39" s="260">
        <f>Z41+Z46+Z63+Z69+Z74+Z77+Z79</f>
        <v>0</v>
      </c>
      <c r="AA39" s="260"/>
      <c r="AB39" s="260">
        <f t="shared" ref="AB39:AC39" si="51">AB41+AB46+AB63+AB69+AB74+AB77+AB79</f>
        <v>440.35</v>
      </c>
      <c r="AC39" s="260">
        <f t="shared" si="51"/>
        <v>4118.09</v>
      </c>
      <c r="AD39" s="260"/>
      <c r="AE39" s="260"/>
      <c r="AF39" s="99">
        <f t="shared" si="50"/>
        <v>80070.25</v>
      </c>
      <c r="AG39" s="99">
        <f t="shared" si="50"/>
        <v>4574.7299999999996</v>
      </c>
      <c r="AH39" s="99">
        <f t="shared" si="50"/>
        <v>60987.9</v>
      </c>
      <c r="AI39" s="99">
        <f t="shared" si="50"/>
        <v>44536.84</v>
      </c>
    </row>
    <row r="40" spans="1:35" ht="71.25" x14ac:dyDescent="0.25">
      <c r="A40" s="162"/>
      <c r="C40" s="130" t="s">
        <v>42</v>
      </c>
      <c r="D40" s="131">
        <v>80410</v>
      </c>
      <c r="E40" s="132" t="s">
        <v>33</v>
      </c>
      <c r="F40" s="133" t="s">
        <v>464</v>
      </c>
      <c r="G40" s="132" t="s">
        <v>33</v>
      </c>
      <c r="H40" s="132" t="s">
        <v>33</v>
      </c>
      <c r="I40" s="155" t="s">
        <v>33</v>
      </c>
      <c r="J40" s="155" t="s">
        <v>33</v>
      </c>
      <c r="K40" s="155" t="s">
        <v>33</v>
      </c>
      <c r="L40" s="155" t="s">
        <v>33</v>
      </c>
      <c r="M40" s="196"/>
      <c r="N40" s="134">
        <f t="shared" ref="N40:AI40" si="52">N41+N46+N63+N69+N74+N77+N79</f>
        <v>55022.11</v>
      </c>
      <c r="O40" s="134">
        <f t="shared" si="52"/>
        <v>3000</v>
      </c>
      <c r="P40" s="134">
        <f t="shared" si="52"/>
        <v>4955.53</v>
      </c>
      <c r="Q40" s="134">
        <f t="shared" si="52"/>
        <v>0</v>
      </c>
      <c r="R40" s="134">
        <f t="shared" si="52"/>
        <v>8385.49</v>
      </c>
      <c r="S40" s="134">
        <f t="shared" si="52"/>
        <v>876.4</v>
      </c>
      <c r="T40" s="134">
        <f t="shared" si="52"/>
        <v>1574.73</v>
      </c>
      <c r="U40" s="134">
        <f t="shared" si="52"/>
        <v>-1.4210854715202004E-13</v>
      </c>
      <c r="V40" s="134">
        <f t="shared" si="52"/>
        <v>0</v>
      </c>
      <c r="W40" s="134">
        <f t="shared" si="52"/>
        <v>0</v>
      </c>
      <c r="X40" s="134">
        <f t="shared" si="52"/>
        <v>4697.5499999999993</v>
      </c>
      <c r="Y40" s="134">
        <f t="shared" si="52"/>
        <v>0</v>
      </c>
      <c r="Z40" s="261">
        <f>Z41+Z46+Z63+Z69+Z74+Z77+Z79</f>
        <v>0</v>
      </c>
      <c r="AA40" s="261"/>
      <c r="AB40" s="261">
        <f t="shared" ref="AB40:AC40" si="53">AB41+AB46+AB63+AB69+AB74+AB77+AB79</f>
        <v>440.35</v>
      </c>
      <c r="AC40" s="261">
        <f t="shared" si="53"/>
        <v>4118.09</v>
      </c>
      <c r="AD40" s="261"/>
      <c r="AE40" s="261"/>
      <c r="AF40" s="134">
        <f t="shared" si="52"/>
        <v>80070.25</v>
      </c>
      <c r="AG40" s="134">
        <f t="shared" si="52"/>
        <v>4574.7299999999996</v>
      </c>
      <c r="AH40" s="134">
        <f t="shared" si="52"/>
        <v>60987.9</v>
      </c>
      <c r="AI40" s="134">
        <f t="shared" si="52"/>
        <v>44536.84</v>
      </c>
    </row>
    <row r="41" spans="1:35" ht="31.5" customHeight="1" x14ac:dyDescent="0.25">
      <c r="A41" s="162"/>
      <c r="C41" s="92" t="s">
        <v>42</v>
      </c>
      <c r="D41" s="93"/>
      <c r="E41" s="84" t="s">
        <v>33</v>
      </c>
      <c r="F41" s="85" t="s">
        <v>168</v>
      </c>
      <c r="G41" s="84" t="s">
        <v>33</v>
      </c>
      <c r="H41" s="84" t="s">
        <v>33</v>
      </c>
      <c r="I41" s="84" t="s">
        <v>33</v>
      </c>
      <c r="J41" s="94" t="s">
        <v>33</v>
      </c>
      <c r="K41" s="84" t="s">
        <v>33</v>
      </c>
      <c r="L41" s="84" t="s">
        <v>33</v>
      </c>
      <c r="M41" s="181"/>
      <c r="N41" s="87">
        <f t="shared" ref="N41:R41" si="54">N42+N43+N45</f>
        <v>8030</v>
      </c>
      <c r="O41" s="87">
        <f t="shared" si="54"/>
        <v>3000</v>
      </c>
      <c r="P41" s="120">
        <f>P42+P43+P45+P44</f>
        <v>2093.9299999999998</v>
      </c>
      <c r="Q41" s="87">
        <f t="shared" si="54"/>
        <v>0</v>
      </c>
      <c r="R41" s="87">
        <f t="shared" si="54"/>
        <v>5831.17</v>
      </c>
      <c r="S41" s="87">
        <f t="shared" ref="S41" si="55">S42+S43+S45</f>
        <v>876.4</v>
      </c>
      <c r="T41" s="87">
        <f t="shared" ref="T41:X41" si="56">T42+T43+T45</f>
        <v>1574.73</v>
      </c>
      <c r="U41" s="87">
        <f t="shared" si="56"/>
        <v>0</v>
      </c>
      <c r="V41" s="87">
        <f t="shared" si="56"/>
        <v>0</v>
      </c>
      <c r="W41" s="87">
        <f t="shared" si="56"/>
        <v>0</v>
      </c>
      <c r="X41" s="87">
        <f t="shared" si="56"/>
        <v>0</v>
      </c>
      <c r="Y41" s="87">
        <f t="shared" ref="Y41:Z41" si="57">Y42+Y43+Y45</f>
        <v>0</v>
      </c>
      <c r="Z41" s="257">
        <f t="shared" si="57"/>
        <v>0</v>
      </c>
      <c r="AA41" s="257"/>
      <c r="AB41" s="257">
        <f t="shared" ref="AB41:AC41" si="58">AB42+AB43+AB45</f>
        <v>0</v>
      </c>
      <c r="AC41" s="257">
        <f t="shared" si="58"/>
        <v>4118.09</v>
      </c>
      <c r="AD41" s="257"/>
      <c r="AE41" s="257"/>
      <c r="AF41" s="87">
        <f>AF42+AF43+AF45+AF44</f>
        <v>22524.32</v>
      </c>
      <c r="AG41" s="87">
        <f>AG42+AG43+AG45</f>
        <v>4574.7299999999996</v>
      </c>
      <c r="AH41" s="87">
        <f>AH42+AH43+AH45</f>
        <v>18132.240000000002</v>
      </c>
      <c r="AI41" s="87">
        <f>AI42+AI43+AI45</f>
        <v>1515</v>
      </c>
    </row>
    <row r="42" spans="1:35" ht="36.75" customHeight="1" x14ac:dyDescent="0.25">
      <c r="A42" s="162"/>
      <c r="B42" s="160" t="s">
        <v>260</v>
      </c>
      <c r="C42" s="23" t="s">
        <v>42</v>
      </c>
      <c r="D42" s="17">
        <v>80410</v>
      </c>
      <c r="E42" s="17" t="s">
        <v>66</v>
      </c>
      <c r="F42" s="18" t="s">
        <v>465</v>
      </c>
      <c r="G42" s="17" t="s">
        <v>74</v>
      </c>
      <c r="H42" s="17" t="s">
        <v>38</v>
      </c>
      <c r="I42" s="17">
        <v>2</v>
      </c>
      <c r="J42" s="30">
        <v>45656</v>
      </c>
      <c r="K42" s="17">
        <v>0</v>
      </c>
      <c r="L42" s="17">
        <v>0</v>
      </c>
      <c r="M42" s="180"/>
      <c r="N42" s="25">
        <v>5030</v>
      </c>
      <c r="O42" s="25"/>
      <c r="P42" s="188"/>
      <c r="Q42" s="25"/>
      <c r="R42" s="201">
        <v>5831.17</v>
      </c>
      <c r="S42" s="201">
        <v>876.4</v>
      </c>
      <c r="T42" s="201"/>
      <c r="U42" s="201"/>
      <c r="V42" s="201"/>
      <c r="W42" s="201"/>
      <c r="X42" s="201"/>
      <c r="Y42" s="201"/>
      <c r="Z42" s="262"/>
      <c r="AA42" s="262"/>
      <c r="AB42" s="262"/>
      <c r="AC42" s="262">
        <f>4329.47-211.38</f>
        <v>4118.09</v>
      </c>
      <c r="AD42" s="262"/>
      <c r="AE42" s="262"/>
      <c r="AF42" s="26">
        <f>SUM(N42:AC42)-O42</f>
        <v>15855.66</v>
      </c>
      <c r="AG42" s="25">
        <v>0</v>
      </c>
      <c r="AH42" s="25">
        <v>0</v>
      </c>
      <c r="AI42" s="25">
        <v>0</v>
      </c>
    </row>
    <row r="43" spans="1:35" ht="36.75" customHeight="1" x14ac:dyDescent="0.25">
      <c r="A43" s="162"/>
      <c r="B43" s="160" t="s">
        <v>260</v>
      </c>
      <c r="C43" s="23" t="s">
        <v>42</v>
      </c>
      <c r="D43" s="17" t="s">
        <v>261</v>
      </c>
      <c r="E43" s="17" t="s">
        <v>66</v>
      </c>
      <c r="F43" s="18" t="s">
        <v>465</v>
      </c>
      <c r="G43" s="17" t="s">
        <v>74</v>
      </c>
      <c r="H43" s="17" t="s">
        <v>38</v>
      </c>
      <c r="I43" s="17">
        <v>2</v>
      </c>
      <c r="J43" s="30">
        <v>45656</v>
      </c>
      <c r="K43" s="17">
        <v>2</v>
      </c>
      <c r="L43" s="17">
        <v>2</v>
      </c>
      <c r="M43" s="180"/>
      <c r="N43" s="25">
        <v>3000</v>
      </c>
      <c r="O43" s="25">
        <v>3000</v>
      </c>
      <c r="P43" s="188"/>
      <c r="Q43" s="25"/>
      <c r="R43" s="25"/>
      <c r="S43" s="25"/>
      <c r="T43" s="25">
        <v>1574.73</v>
      </c>
      <c r="U43" s="25"/>
      <c r="V43" s="25"/>
      <c r="W43" s="25"/>
      <c r="X43" s="25"/>
      <c r="Y43" s="25"/>
      <c r="Z43" s="259"/>
      <c r="AA43" s="259"/>
      <c r="AB43" s="259"/>
      <c r="AC43" s="259"/>
      <c r="AD43" s="259"/>
      <c r="AE43" s="259"/>
      <c r="AF43" s="25">
        <f>SUM(N43:AC43)-O43</f>
        <v>4574.7299999999996</v>
      </c>
      <c r="AG43" s="25">
        <f>AF43</f>
        <v>4574.7299999999996</v>
      </c>
      <c r="AH43" s="25">
        <v>1515</v>
      </c>
      <c r="AI43" s="25">
        <v>1515</v>
      </c>
    </row>
    <row r="44" spans="1:35" ht="71.25" customHeight="1" x14ac:dyDescent="0.25">
      <c r="A44" s="162"/>
      <c r="B44" s="160" t="s">
        <v>343</v>
      </c>
      <c r="C44" s="234" t="s">
        <v>42</v>
      </c>
      <c r="D44" s="21">
        <v>80410</v>
      </c>
      <c r="E44" s="21" t="s">
        <v>66</v>
      </c>
      <c r="F44" s="22" t="s">
        <v>466</v>
      </c>
      <c r="G44" s="21" t="s">
        <v>74</v>
      </c>
      <c r="H44" s="21" t="s">
        <v>38</v>
      </c>
      <c r="I44" s="21">
        <v>5</v>
      </c>
      <c r="J44" s="233">
        <v>45656</v>
      </c>
      <c r="K44" s="21">
        <v>0</v>
      </c>
      <c r="L44" s="21">
        <v>0</v>
      </c>
      <c r="M44" s="186"/>
      <c r="N44" s="26"/>
      <c r="O44" s="26"/>
      <c r="P44" s="217">
        <v>2093.9299999999998</v>
      </c>
      <c r="Q44" s="26"/>
      <c r="R44" s="26"/>
      <c r="S44" s="26"/>
      <c r="T44" s="26"/>
      <c r="U44" s="26"/>
      <c r="V44" s="26"/>
      <c r="W44" s="26"/>
      <c r="X44" s="26"/>
      <c r="Y44" s="26"/>
      <c r="Z44" s="263"/>
      <c r="AA44" s="263"/>
      <c r="AB44" s="263"/>
      <c r="AC44" s="263"/>
      <c r="AD44" s="263"/>
      <c r="AE44" s="263"/>
      <c r="AF44" s="26">
        <f>SUM(N44:AC44)-O44</f>
        <v>2093.9299999999998</v>
      </c>
      <c r="AG44" s="26">
        <v>0</v>
      </c>
      <c r="AH44" s="26">
        <v>0</v>
      </c>
      <c r="AI44" s="26">
        <v>0</v>
      </c>
    </row>
    <row r="45" spans="1:35" ht="80.25" customHeight="1" x14ac:dyDescent="0.25">
      <c r="A45" s="162"/>
      <c r="C45" s="15" t="s">
        <v>42</v>
      </c>
      <c r="D45" s="16" t="s">
        <v>398</v>
      </c>
      <c r="E45" s="17" t="s">
        <v>191</v>
      </c>
      <c r="F45" s="18" t="s">
        <v>399</v>
      </c>
      <c r="G45" s="17" t="s">
        <v>74</v>
      </c>
      <c r="H45" s="17" t="s">
        <v>38</v>
      </c>
      <c r="I45" s="12">
        <v>0</v>
      </c>
      <c r="J45" s="30"/>
      <c r="K45" s="17">
        <v>1</v>
      </c>
      <c r="L45" s="17">
        <v>0</v>
      </c>
      <c r="M45" s="180"/>
      <c r="N45" s="25">
        <v>0</v>
      </c>
      <c r="O45" s="25">
        <v>0</v>
      </c>
      <c r="P45" s="188">
        <v>0</v>
      </c>
      <c r="Q45" s="25">
        <v>0</v>
      </c>
      <c r="R45" s="25">
        <v>0</v>
      </c>
      <c r="S45" s="25"/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9">
        <v>0</v>
      </c>
      <c r="AA45" s="259"/>
      <c r="AB45" s="259">
        <v>0</v>
      </c>
      <c r="AC45" s="259">
        <v>0</v>
      </c>
      <c r="AD45" s="259"/>
      <c r="AE45" s="259"/>
      <c r="AF45" s="25">
        <v>0</v>
      </c>
      <c r="AG45" s="25">
        <v>0</v>
      </c>
      <c r="AH45" s="25">
        <v>16617.240000000002</v>
      </c>
      <c r="AI45" s="25">
        <v>0</v>
      </c>
    </row>
    <row r="46" spans="1:35" ht="28.5" customHeight="1" x14ac:dyDescent="0.25">
      <c r="A46" s="162"/>
      <c r="C46" s="92" t="s">
        <v>42</v>
      </c>
      <c r="D46" s="93"/>
      <c r="E46" s="84" t="s">
        <v>33</v>
      </c>
      <c r="F46" s="85" t="s">
        <v>169</v>
      </c>
      <c r="G46" s="84" t="s">
        <v>33</v>
      </c>
      <c r="H46" s="84" t="s">
        <v>33</v>
      </c>
      <c r="I46" s="84" t="s">
        <v>33</v>
      </c>
      <c r="J46" s="94" t="s">
        <v>33</v>
      </c>
      <c r="K46" s="84" t="s">
        <v>33</v>
      </c>
      <c r="L46" s="84" t="s">
        <v>33</v>
      </c>
      <c r="M46" s="181"/>
      <c r="N46" s="87">
        <f>SUM(N47:N54)</f>
        <v>4470.2700000000004</v>
      </c>
      <c r="O46" s="87">
        <f t="shared" ref="O46:AI46" si="59">SUM(O47:O53)</f>
        <v>0</v>
      </c>
      <c r="P46" s="120">
        <f>SUM(P47:P55)</f>
        <v>2431.6</v>
      </c>
      <c r="Q46" s="87">
        <f>SUM(Q47:Q53)</f>
        <v>0</v>
      </c>
      <c r="R46" s="87">
        <f>SUM(R47:R62)</f>
        <v>2554.3200000000002</v>
      </c>
      <c r="S46" s="87">
        <f>SUM(S47:S55)</f>
        <v>0</v>
      </c>
      <c r="T46" s="87">
        <f>SUM(T47:T53)</f>
        <v>0</v>
      </c>
      <c r="U46" s="87">
        <f>SUM(U47:U62)</f>
        <v>-1.4210854715202004E-13</v>
      </c>
      <c r="V46" s="87">
        <f>SUM(V47:V53)</f>
        <v>0</v>
      </c>
      <c r="W46" s="87">
        <f>SUM(W47:W53)</f>
        <v>0</v>
      </c>
      <c r="X46" s="87">
        <f>SUM(X47:X62)</f>
        <v>4314.9699999999993</v>
      </c>
      <c r="Y46" s="87">
        <f>SUM(Y47:Y62)</f>
        <v>0</v>
      </c>
      <c r="Z46" s="257">
        <f>SUM(Z47:Z53)</f>
        <v>0</v>
      </c>
      <c r="AA46" s="257"/>
      <c r="AB46" s="257">
        <f>SUM(AB47:AB53)</f>
        <v>0</v>
      </c>
      <c r="AC46" s="257">
        <f>SUM(AC47:AC53)</f>
        <v>0</v>
      </c>
      <c r="AD46" s="257"/>
      <c r="AE46" s="257"/>
      <c r="AF46" s="87">
        <f>SUM(AF47:AF62)</f>
        <v>13771.160000000002</v>
      </c>
      <c r="AG46" s="87">
        <f t="shared" ref="AG46" si="60">SUM(AG47:AG53)</f>
        <v>0</v>
      </c>
      <c r="AH46" s="87">
        <f t="shared" si="59"/>
        <v>0</v>
      </c>
      <c r="AI46" s="87">
        <f t="shared" si="59"/>
        <v>0</v>
      </c>
    </row>
    <row r="47" spans="1:35" ht="150" x14ac:dyDescent="0.25">
      <c r="B47" s="160" t="s">
        <v>262</v>
      </c>
      <c r="C47" s="14" t="s">
        <v>42</v>
      </c>
      <c r="D47" s="13">
        <v>80410</v>
      </c>
      <c r="E47" s="12" t="s">
        <v>107</v>
      </c>
      <c r="F47" s="226" t="s">
        <v>397</v>
      </c>
      <c r="G47" s="189" t="s">
        <v>80</v>
      </c>
      <c r="H47" s="189" t="s">
        <v>81</v>
      </c>
      <c r="I47" s="189">
        <f>200+250+150+210</f>
        <v>810</v>
      </c>
      <c r="J47" s="227">
        <v>45656</v>
      </c>
      <c r="K47" s="189">
        <v>0</v>
      </c>
      <c r="L47" s="189">
        <v>0</v>
      </c>
      <c r="M47" s="198"/>
      <c r="N47" s="31">
        <v>284.07</v>
      </c>
      <c r="O47" s="31">
        <v>0</v>
      </c>
      <c r="P47" s="31"/>
      <c r="Q47" s="31"/>
      <c r="R47" s="31"/>
      <c r="S47" s="31"/>
      <c r="T47" s="31"/>
      <c r="U47" s="31">
        <v>1225.56</v>
      </c>
      <c r="V47" s="31"/>
      <c r="W47" s="31"/>
      <c r="X47" s="31"/>
      <c r="Y47" s="31"/>
      <c r="Z47" s="264"/>
      <c r="AA47" s="264"/>
      <c r="AB47" s="264"/>
      <c r="AC47" s="264"/>
      <c r="AD47" s="264"/>
      <c r="AE47" s="264"/>
      <c r="AF47" s="188">
        <f t="shared" ref="AF47:AF62" si="61">SUM(N47:AC47)-O47</f>
        <v>1509.6299999999999</v>
      </c>
      <c r="AG47" s="24">
        <v>0</v>
      </c>
      <c r="AH47" s="24">
        <v>0</v>
      </c>
      <c r="AI47" s="24">
        <v>0</v>
      </c>
    </row>
    <row r="48" spans="1:35" ht="30" hidden="1" customHeight="1" x14ac:dyDescent="0.25">
      <c r="B48" s="160" t="s">
        <v>263</v>
      </c>
      <c r="C48" s="14" t="s">
        <v>42</v>
      </c>
      <c r="D48" s="13">
        <v>80410</v>
      </c>
      <c r="E48" s="12" t="s">
        <v>107</v>
      </c>
      <c r="F48" s="3" t="s">
        <v>150</v>
      </c>
      <c r="G48" s="12" t="s">
        <v>80</v>
      </c>
      <c r="H48" s="12" t="s">
        <v>81</v>
      </c>
      <c r="I48" s="12">
        <f>250-250</f>
        <v>0</v>
      </c>
      <c r="J48" s="30">
        <v>45656</v>
      </c>
      <c r="K48" s="12">
        <v>0</v>
      </c>
      <c r="L48" s="12">
        <v>0</v>
      </c>
      <c r="M48" s="174"/>
      <c r="N48" s="24">
        <v>533.6</v>
      </c>
      <c r="O48" s="24">
        <v>0</v>
      </c>
      <c r="P48" s="24"/>
      <c r="Q48" s="24"/>
      <c r="R48" s="24">
        <v>-139.43</v>
      </c>
      <c r="S48" s="24"/>
      <c r="T48" s="24"/>
      <c r="U48" s="24">
        <v>-394.17</v>
      </c>
      <c r="V48" s="24"/>
      <c r="W48" s="24"/>
      <c r="X48" s="24"/>
      <c r="Y48" s="24"/>
      <c r="Z48" s="258"/>
      <c r="AA48" s="258"/>
      <c r="AB48" s="258"/>
      <c r="AC48" s="258"/>
      <c r="AD48" s="258"/>
      <c r="AE48" s="258"/>
      <c r="AF48" s="25">
        <f t="shared" si="61"/>
        <v>0</v>
      </c>
      <c r="AG48" s="24">
        <v>0</v>
      </c>
      <c r="AH48" s="24">
        <v>0</v>
      </c>
      <c r="AI48" s="24">
        <v>0</v>
      </c>
    </row>
    <row r="49" spans="1:37" ht="30" x14ac:dyDescent="0.25">
      <c r="B49" s="200" t="s">
        <v>392</v>
      </c>
      <c r="C49" s="228" t="s">
        <v>42</v>
      </c>
      <c r="D49" s="20">
        <v>80410</v>
      </c>
      <c r="E49" s="21" t="s">
        <v>107</v>
      </c>
      <c r="F49" s="22" t="s">
        <v>360</v>
      </c>
      <c r="G49" s="21" t="s">
        <v>80</v>
      </c>
      <c r="H49" s="21" t="s">
        <v>81</v>
      </c>
      <c r="I49" s="21">
        <v>6</v>
      </c>
      <c r="J49" s="233">
        <v>45657</v>
      </c>
      <c r="K49" s="21">
        <v>0</v>
      </c>
      <c r="L49" s="21">
        <v>0</v>
      </c>
      <c r="M49" s="186"/>
      <c r="N49" s="26"/>
      <c r="O49" s="26"/>
      <c r="P49" s="217"/>
      <c r="Q49" s="26"/>
      <c r="R49" s="26">
        <v>139.43</v>
      </c>
      <c r="S49" s="26"/>
      <c r="T49" s="26"/>
      <c r="U49" s="26"/>
      <c r="V49" s="26"/>
      <c r="W49" s="26"/>
      <c r="X49" s="26"/>
      <c r="Y49" s="26"/>
      <c r="Z49" s="263"/>
      <c r="AA49" s="263"/>
      <c r="AB49" s="263"/>
      <c r="AC49" s="263"/>
      <c r="AD49" s="263"/>
      <c r="AE49" s="263"/>
      <c r="AF49" s="26">
        <f t="shared" si="61"/>
        <v>139.43</v>
      </c>
      <c r="AG49" s="26">
        <v>0</v>
      </c>
      <c r="AH49" s="26">
        <v>0</v>
      </c>
      <c r="AI49" s="26">
        <v>0</v>
      </c>
      <c r="AJ49" s="202"/>
      <c r="AK49" s="202"/>
    </row>
    <row r="50" spans="1:37" ht="21" hidden="1" customHeight="1" x14ac:dyDescent="0.25">
      <c r="B50" s="160" t="s">
        <v>264</v>
      </c>
      <c r="C50" s="14" t="s">
        <v>42</v>
      </c>
      <c r="D50" s="13">
        <v>80410</v>
      </c>
      <c r="E50" s="12" t="s">
        <v>107</v>
      </c>
      <c r="F50" s="3" t="s">
        <v>151</v>
      </c>
      <c r="G50" s="12" t="s">
        <v>80</v>
      </c>
      <c r="H50" s="12" t="s">
        <v>81</v>
      </c>
      <c r="I50" s="12">
        <f>150-150</f>
        <v>0</v>
      </c>
      <c r="J50" s="30">
        <v>45656</v>
      </c>
      <c r="K50" s="12">
        <v>0</v>
      </c>
      <c r="L50" s="12">
        <v>0</v>
      </c>
      <c r="M50" s="174"/>
      <c r="N50" s="24">
        <v>823.84</v>
      </c>
      <c r="O50" s="24">
        <v>0</v>
      </c>
      <c r="P50" s="24"/>
      <c r="Q50" s="24"/>
      <c r="R50" s="24"/>
      <c r="S50" s="24"/>
      <c r="T50" s="24"/>
      <c r="U50" s="24">
        <v>-823.84</v>
      </c>
      <c r="V50" s="24"/>
      <c r="W50" s="24"/>
      <c r="X50" s="24"/>
      <c r="Y50" s="24"/>
      <c r="Z50" s="258"/>
      <c r="AA50" s="258"/>
      <c r="AB50" s="258"/>
      <c r="AC50" s="258"/>
      <c r="AD50" s="258"/>
      <c r="AE50" s="258"/>
      <c r="AF50" s="25">
        <f t="shared" si="61"/>
        <v>0</v>
      </c>
      <c r="AG50" s="24">
        <v>0</v>
      </c>
      <c r="AH50" s="24">
        <v>0</v>
      </c>
      <c r="AI50" s="24">
        <v>0</v>
      </c>
    </row>
    <row r="51" spans="1:37" ht="75" x14ac:dyDescent="0.25">
      <c r="B51" s="160" t="s">
        <v>265</v>
      </c>
      <c r="C51" s="14" t="s">
        <v>42</v>
      </c>
      <c r="D51" s="13">
        <v>80410</v>
      </c>
      <c r="E51" s="12" t="s">
        <v>107</v>
      </c>
      <c r="F51" s="226" t="s">
        <v>89</v>
      </c>
      <c r="G51" s="189" t="s">
        <v>80</v>
      </c>
      <c r="H51" s="189" t="s">
        <v>81</v>
      </c>
      <c r="I51" s="189">
        <v>290</v>
      </c>
      <c r="J51" s="227">
        <v>45656</v>
      </c>
      <c r="K51" s="189">
        <v>0</v>
      </c>
      <c r="L51" s="189">
        <v>0</v>
      </c>
      <c r="M51" s="198"/>
      <c r="N51" s="31">
        <v>1748</v>
      </c>
      <c r="O51" s="31">
        <v>0</v>
      </c>
      <c r="P51" s="31"/>
      <c r="Q51" s="31"/>
      <c r="R51" s="31"/>
      <c r="S51" s="31"/>
      <c r="T51" s="31"/>
      <c r="U51" s="31">
        <v>-716.68</v>
      </c>
      <c r="V51" s="31"/>
      <c r="W51" s="31"/>
      <c r="X51" s="31"/>
      <c r="Y51" s="31"/>
      <c r="Z51" s="264"/>
      <c r="AA51" s="264"/>
      <c r="AB51" s="264"/>
      <c r="AC51" s="264"/>
      <c r="AD51" s="264"/>
      <c r="AE51" s="264"/>
      <c r="AF51" s="188">
        <f t="shared" si="61"/>
        <v>1031.3200000000002</v>
      </c>
      <c r="AG51" s="24">
        <v>0</v>
      </c>
      <c r="AH51" s="24">
        <v>0</v>
      </c>
      <c r="AI51" s="24">
        <v>0</v>
      </c>
    </row>
    <row r="52" spans="1:37" ht="30" hidden="1" customHeight="1" x14ac:dyDescent="0.25">
      <c r="B52" s="160" t="s">
        <v>266</v>
      </c>
      <c r="C52" s="14" t="s">
        <v>42</v>
      </c>
      <c r="D52" s="13">
        <v>80410</v>
      </c>
      <c r="E52" s="12" t="s">
        <v>107</v>
      </c>
      <c r="F52" s="3" t="s">
        <v>152</v>
      </c>
      <c r="G52" s="12" t="s">
        <v>80</v>
      </c>
      <c r="H52" s="12" t="s">
        <v>81</v>
      </c>
      <c r="I52" s="12">
        <f>210-210</f>
        <v>0</v>
      </c>
      <c r="J52" s="30">
        <v>45656</v>
      </c>
      <c r="K52" s="12">
        <v>0</v>
      </c>
      <c r="L52" s="12">
        <v>0</v>
      </c>
      <c r="M52" s="174"/>
      <c r="N52" s="24">
        <v>345.75</v>
      </c>
      <c r="O52" s="24">
        <v>0</v>
      </c>
      <c r="P52" s="24"/>
      <c r="Q52" s="24"/>
      <c r="R52" s="24"/>
      <c r="S52" s="24"/>
      <c r="T52" s="24"/>
      <c r="U52" s="24">
        <v>-345.75</v>
      </c>
      <c r="V52" s="24"/>
      <c r="W52" s="24"/>
      <c r="X52" s="24"/>
      <c r="Y52" s="24"/>
      <c r="Z52" s="258"/>
      <c r="AA52" s="258"/>
      <c r="AB52" s="258"/>
      <c r="AC52" s="258"/>
      <c r="AD52" s="258"/>
      <c r="AE52" s="258"/>
      <c r="AF52" s="25">
        <f t="shared" si="61"/>
        <v>0</v>
      </c>
      <c r="AG52" s="24">
        <v>0</v>
      </c>
      <c r="AH52" s="24">
        <v>0</v>
      </c>
      <c r="AI52" s="24">
        <v>0</v>
      </c>
    </row>
    <row r="53" spans="1:37" ht="30" x14ac:dyDescent="0.25">
      <c r="B53" s="160" t="s">
        <v>267</v>
      </c>
      <c r="C53" s="14" t="s">
        <v>42</v>
      </c>
      <c r="D53" s="13">
        <v>80410</v>
      </c>
      <c r="E53" s="12" t="s">
        <v>107</v>
      </c>
      <c r="F53" s="3" t="s">
        <v>119</v>
      </c>
      <c r="G53" s="12" t="s">
        <v>80</v>
      </c>
      <c r="H53" s="12" t="s">
        <v>81</v>
      </c>
      <c r="I53" s="12">
        <v>183</v>
      </c>
      <c r="J53" s="30">
        <v>45656</v>
      </c>
      <c r="K53" s="12">
        <v>0</v>
      </c>
      <c r="L53" s="12">
        <v>0</v>
      </c>
      <c r="M53" s="174"/>
      <c r="N53" s="24">
        <v>735.01</v>
      </c>
      <c r="O53" s="24">
        <v>0</v>
      </c>
      <c r="P53" s="31"/>
      <c r="Q53" s="24"/>
      <c r="R53" s="24"/>
      <c r="S53" s="24"/>
      <c r="T53" s="24"/>
      <c r="U53" s="24"/>
      <c r="V53" s="24"/>
      <c r="W53" s="24"/>
      <c r="X53" s="24"/>
      <c r="Y53" s="24"/>
      <c r="Z53" s="258"/>
      <c r="AA53" s="258"/>
      <c r="AB53" s="258"/>
      <c r="AC53" s="258"/>
      <c r="AD53" s="258"/>
      <c r="AE53" s="258"/>
      <c r="AF53" s="25">
        <f t="shared" si="61"/>
        <v>735.01</v>
      </c>
      <c r="AG53" s="24">
        <v>0</v>
      </c>
      <c r="AH53" s="24">
        <v>0</v>
      </c>
      <c r="AI53" s="24">
        <v>0</v>
      </c>
    </row>
    <row r="54" spans="1:37" ht="30" x14ac:dyDescent="0.25">
      <c r="B54" s="160" t="s">
        <v>340</v>
      </c>
      <c r="C54" s="228" t="s">
        <v>42</v>
      </c>
      <c r="D54" s="20">
        <v>80410</v>
      </c>
      <c r="E54" s="21" t="s">
        <v>107</v>
      </c>
      <c r="F54" s="229" t="s">
        <v>345</v>
      </c>
      <c r="G54" s="230" t="s">
        <v>80</v>
      </c>
      <c r="H54" s="230" t="s">
        <v>81</v>
      </c>
      <c r="I54" s="230">
        <v>110</v>
      </c>
      <c r="J54" s="231">
        <v>45656</v>
      </c>
      <c r="K54" s="230">
        <v>0</v>
      </c>
      <c r="L54" s="230">
        <v>0</v>
      </c>
      <c r="M54" s="232"/>
      <c r="N54" s="217"/>
      <c r="O54" s="217"/>
      <c r="P54" s="217">
        <v>2431.6</v>
      </c>
      <c r="Q54" s="217"/>
      <c r="R54" s="217"/>
      <c r="S54" s="217"/>
      <c r="T54" s="217"/>
      <c r="U54" s="217">
        <v>-170.21</v>
      </c>
      <c r="V54" s="217"/>
      <c r="W54" s="217"/>
      <c r="X54" s="217"/>
      <c r="Y54" s="217"/>
      <c r="Z54" s="265"/>
      <c r="AA54" s="265"/>
      <c r="AB54" s="265"/>
      <c r="AC54" s="265"/>
      <c r="AD54" s="265"/>
      <c r="AE54" s="265"/>
      <c r="AF54" s="217">
        <f t="shared" si="61"/>
        <v>2261.39</v>
      </c>
      <c r="AG54" s="26">
        <v>0</v>
      </c>
      <c r="AH54" s="26">
        <v>0</v>
      </c>
      <c r="AI54" s="26">
        <v>0</v>
      </c>
    </row>
    <row r="55" spans="1:37" ht="28.5" customHeight="1" x14ac:dyDescent="0.25">
      <c r="B55" s="166" t="s">
        <v>361</v>
      </c>
      <c r="C55" s="228" t="s">
        <v>42</v>
      </c>
      <c r="D55" s="20">
        <v>80410</v>
      </c>
      <c r="E55" s="21" t="s">
        <v>107</v>
      </c>
      <c r="F55" s="22" t="s">
        <v>364</v>
      </c>
      <c r="G55" s="21" t="s">
        <v>67</v>
      </c>
      <c r="H55" s="21" t="s">
        <v>69</v>
      </c>
      <c r="I55" s="21">
        <v>6</v>
      </c>
      <c r="J55" s="233">
        <v>45656</v>
      </c>
      <c r="K55" s="21">
        <v>0</v>
      </c>
      <c r="L55" s="21">
        <v>0</v>
      </c>
      <c r="M55" s="186"/>
      <c r="N55" s="26"/>
      <c r="O55" s="26"/>
      <c r="P55" s="217"/>
      <c r="Q55" s="26"/>
      <c r="R55" s="26">
        <v>2554.3200000000002</v>
      </c>
      <c r="S55" s="26"/>
      <c r="T55" s="26"/>
      <c r="U55" s="26"/>
      <c r="V55" s="26"/>
      <c r="W55" s="26"/>
      <c r="X55" s="26"/>
      <c r="Y55" s="26"/>
      <c r="Z55" s="263"/>
      <c r="AA55" s="263"/>
      <c r="AB55" s="263"/>
      <c r="AC55" s="263"/>
      <c r="AD55" s="263"/>
      <c r="AE55" s="263"/>
      <c r="AF55" s="26">
        <f t="shared" si="61"/>
        <v>2554.3200000000002</v>
      </c>
      <c r="AG55" s="26">
        <v>0</v>
      </c>
      <c r="AH55" s="26">
        <v>0</v>
      </c>
      <c r="AI55" s="26">
        <v>0</v>
      </c>
    </row>
    <row r="56" spans="1:37" ht="28.5" customHeight="1" x14ac:dyDescent="0.25">
      <c r="B56" s="166" t="s">
        <v>395</v>
      </c>
      <c r="C56" s="228" t="s">
        <v>42</v>
      </c>
      <c r="D56" s="20">
        <v>80410</v>
      </c>
      <c r="E56" s="21" t="s">
        <v>107</v>
      </c>
      <c r="F56" s="22" t="s">
        <v>393</v>
      </c>
      <c r="G56" s="21" t="s">
        <v>80</v>
      </c>
      <c r="H56" s="21" t="s">
        <v>81</v>
      </c>
      <c r="I56" s="21">
        <v>920</v>
      </c>
      <c r="J56" s="233">
        <v>45656</v>
      </c>
      <c r="K56" s="21">
        <v>0</v>
      </c>
      <c r="L56" s="21">
        <v>0</v>
      </c>
      <c r="M56" s="186"/>
      <c r="N56" s="26"/>
      <c r="O56" s="26"/>
      <c r="P56" s="217"/>
      <c r="Q56" s="26"/>
      <c r="R56" s="26"/>
      <c r="S56" s="26"/>
      <c r="T56" s="26"/>
      <c r="U56" s="26">
        <v>586.91999999999996</v>
      </c>
      <c r="V56" s="26"/>
      <c r="W56" s="26"/>
      <c r="X56" s="26"/>
      <c r="Y56" s="26"/>
      <c r="Z56" s="263"/>
      <c r="AA56" s="263"/>
      <c r="AB56" s="263"/>
      <c r="AC56" s="263"/>
      <c r="AD56" s="263"/>
      <c r="AE56" s="263"/>
      <c r="AF56" s="26">
        <f t="shared" si="61"/>
        <v>586.91999999999996</v>
      </c>
      <c r="AG56" s="26">
        <v>0</v>
      </c>
      <c r="AH56" s="26">
        <v>0</v>
      </c>
      <c r="AI56" s="26">
        <v>0</v>
      </c>
    </row>
    <row r="57" spans="1:37" ht="51" customHeight="1" x14ac:dyDescent="0.25">
      <c r="B57" s="166" t="s">
        <v>416</v>
      </c>
      <c r="C57" s="228" t="s">
        <v>42</v>
      </c>
      <c r="D57" s="20">
        <v>80410</v>
      </c>
      <c r="E57" s="21" t="s">
        <v>107</v>
      </c>
      <c r="F57" s="22" t="s">
        <v>394</v>
      </c>
      <c r="G57" s="21" t="s">
        <v>80</v>
      </c>
      <c r="H57" s="21" t="s">
        <v>81</v>
      </c>
      <c r="I57" s="21">
        <v>350</v>
      </c>
      <c r="J57" s="233">
        <v>45656</v>
      </c>
      <c r="K57" s="21">
        <v>0</v>
      </c>
      <c r="L57" s="21">
        <v>0</v>
      </c>
      <c r="M57" s="186"/>
      <c r="N57" s="26"/>
      <c r="O57" s="26"/>
      <c r="P57" s="217"/>
      <c r="Q57" s="26"/>
      <c r="R57" s="26"/>
      <c r="S57" s="26"/>
      <c r="T57" s="26"/>
      <c r="U57" s="26">
        <v>599.83000000000004</v>
      </c>
      <c r="V57" s="26"/>
      <c r="W57" s="26"/>
      <c r="X57" s="26"/>
      <c r="Y57" s="26"/>
      <c r="Z57" s="263"/>
      <c r="AA57" s="263"/>
      <c r="AB57" s="263"/>
      <c r="AC57" s="263"/>
      <c r="AD57" s="263"/>
      <c r="AE57" s="263"/>
      <c r="AF57" s="26">
        <f t="shared" si="61"/>
        <v>599.83000000000004</v>
      </c>
      <c r="AG57" s="26">
        <v>0</v>
      </c>
      <c r="AH57" s="26">
        <v>0</v>
      </c>
      <c r="AI57" s="26">
        <v>0</v>
      </c>
    </row>
    <row r="58" spans="1:37" ht="51" customHeight="1" x14ac:dyDescent="0.25">
      <c r="B58" s="166" t="s">
        <v>417</v>
      </c>
      <c r="C58" s="228" t="s">
        <v>42</v>
      </c>
      <c r="D58" s="20">
        <v>80410</v>
      </c>
      <c r="E58" s="21" t="s">
        <v>107</v>
      </c>
      <c r="F58" s="22" t="s">
        <v>396</v>
      </c>
      <c r="G58" s="21" t="s">
        <v>79</v>
      </c>
      <c r="H58" s="21" t="s">
        <v>69</v>
      </c>
      <c r="I58" s="21">
        <v>2</v>
      </c>
      <c r="J58" s="233">
        <v>45656</v>
      </c>
      <c r="K58" s="21">
        <v>0</v>
      </c>
      <c r="L58" s="21">
        <v>0</v>
      </c>
      <c r="M58" s="186"/>
      <c r="N58" s="26"/>
      <c r="O58" s="26"/>
      <c r="P58" s="217"/>
      <c r="Q58" s="26"/>
      <c r="R58" s="26"/>
      <c r="S58" s="26"/>
      <c r="T58" s="26"/>
      <c r="U58" s="26">
        <v>38.340000000000003</v>
      </c>
      <c r="V58" s="26"/>
      <c r="W58" s="26"/>
      <c r="X58" s="26"/>
      <c r="Y58" s="26"/>
      <c r="Z58" s="263"/>
      <c r="AA58" s="263"/>
      <c r="AB58" s="263"/>
      <c r="AC58" s="263"/>
      <c r="AD58" s="263"/>
      <c r="AE58" s="263"/>
      <c r="AF58" s="26">
        <f t="shared" si="61"/>
        <v>38.340000000000003</v>
      </c>
      <c r="AG58" s="26">
        <v>0</v>
      </c>
      <c r="AH58" s="26">
        <v>0</v>
      </c>
      <c r="AI58" s="26">
        <v>0</v>
      </c>
    </row>
    <row r="59" spans="1:37" ht="51" customHeight="1" x14ac:dyDescent="0.25">
      <c r="B59" s="247" t="s">
        <v>418</v>
      </c>
      <c r="C59" s="228" t="s">
        <v>42</v>
      </c>
      <c r="D59" s="20">
        <v>80410</v>
      </c>
      <c r="E59" s="21" t="s">
        <v>107</v>
      </c>
      <c r="F59" s="22" t="s">
        <v>404</v>
      </c>
      <c r="G59" s="21" t="s">
        <v>439</v>
      </c>
      <c r="H59" s="21" t="s">
        <v>69</v>
      </c>
      <c r="I59" s="21">
        <v>16</v>
      </c>
      <c r="J59" s="233">
        <v>45656</v>
      </c>
      <c r="K59" s="21">
        <v>0</v>
      </c>
      <c r="L59" s="21">
        <v>0</v>
      </c>
      <c r="M59" s="186"/>
      <c r="N59" s="26"/>
      <c r="O59" s="26"/>
      <c r="P59" s="217"/>
      <c r="Q59" s="26"/>
      <c r="R59" s="26"/>
      <c r="S59" s="26"/>
      <c r="T59" s="26"/>
      <c r="U59" s="26"/>
      <c r="V59" s="26"/>
      <c r="W59" s="26"/>
      <c r="X59" s="26">
        <v>2011.78</v>
      </c>
      <c r="Y59" s="26"/>
      <c r="Z59" s="263"/>
      <c r="AA59" s="263"/>
      <c r="AB59" s="263"/>
      <c r="AC59" s="263"/>
      <c r="AD59" s="263"/>
      <c r="AE59" s="263"/>
      <c r="AF59" s="26">
        <f t="shared" si="61"/>
        <v>2011.78</v>
      </c>
      <c r="AG59" s="26">
        <v>0</v>
      </c>
      <c r="AH59" s="26">
        <v>0</v>
      </c>
      <c r="AI59" s="26">
        <v>0</v>
      </c>
    </row>
    <row r="60" spans="1:37" ht="51" customHeight="1" x14ac:dyDescent="0.25">
      <c r="B60" s="247" t="s">
        <v>419</v>
      </c>
      <c r="C60" s="228" t="s">
        <v>42</v>
      </c>
      <c r="D60" s="20">
        <v>80410</v>
      </c>
      <c r="E60" s="21" t="s">
        <v>107</v>
      </c>
      <c r="F60" s="22" t="s">
        <v>405</v>
      </c>
      <c r="G60" s="21" t="s">
        <v>439</v>
      </c>
      <c r="H60" s="21" t="s">
        <v>69</v>
      </c>
      <c r="I60" s="21">
        <v>6</v>
      </c>
      <c r="J60" s="233">
        <v>45656</v>
      </c>
      <c r="K60" s="21">
        <v>0</v>
      </c>
      <c r="L60" s="21">
        <v>0</v>
      </c>
      <c r="M60" s="186"/>
      <c r="N60" s="26"/>
      <c r="O60" s="26"/>
      <c r="P60" s="217"/>
      <c r="Q60" s="26"/>
      <c r="R60" s="26"/>
      <c r="S60" s="26"/>
      <c r="T60" s="26"/>
      <c r="U60" s="26"/>
      <c r="V60" s="26"/>
      <c r="W60" s="26"/>
      <c r="X60" s="26">
        <v>2153.6999999999998</v>
      </c>
      <c r="Y60" s="26"/>
      <c r="Z60" s="263"/>
      <c r="AA60" s="263"/>
      <c r="AB60" s="263"/>
      <c r="AC60" s="263"/>
      <c r="AD60" s="263"/>
      <c r="AE60" s="263"/>
      <c r="AF60" s="26">
        <f t="shared" si="61"/>
        <v>2153.6999999999998</v>
      </c>
      <c r="AG60" s="26">
        <v>0</v>
      </c>
      <c r="AH60" s="26">
        <v>0</v>
      </c>
      <c r="AI60" s="26">
        <v>0</v>
      </c>
    </row>
    <row r="61" spans="1:37" ht="51" customHeight="1" x14ac:dyDescent="0.25">
      <c r="B61" s="247" t="s">
        <v>420</v>
      </c>
      <c r="C61" s="228" t="s">
        <v>42</v>
      </c>
      <c r="D61" s="20">
        <v>80410</v>
      </c>
      <c r="E61" s="21" t="s">
        <v>107</v>
      </c>
      <c r="F61" s="22" t="s">
        <v>406</v>
      </c>
      <c r="G61" s="21" t="s">
        <v>439</v>
      </c>
      <c r="H61" s="21" t="s">
        <v>69</v>
      </c>
      <c r="I61" s="21">
        <v>2</v>
      </c>
      <c r="J61" s="233">
        <v>45656</v>
      </c>
      <c r="K61" s="21">
        <v>0</v>
      </c>
      <c r="L61" s="21">
        <v>0</v>
      </c>
      <c r="M61" s="186"/>
      <c r="N61" s="26"/>
      <c r="O61" s="26"/>
      <c r="P61" s="217"/>
      <c r="Q61" s="26"/>
      <c r="R61" s="26"/>
      <c r="S61" s="26"/>
      <c r="T61" s="26"/>
      <c r="U61" s="26"/>
      <c r="V61" s="26"/>
      <c r="W61" s="26"/>
      <c r="X61" s="26">
        <v>149.49</v>
      </c>
      <c r="Y61" s="26"/>
      <c r="Z61" s="263"/>
      <c r="AA61" s="263"/>
      <c r="AB61" s="263"/>
      <c r="AC61" s="263"/>
      <c r="AD61" s="263"/>
      <c r="AE61" s="263"/>
      <c r="AF61" s="26">
        <f t="shared" si="61"/>
        <v>149.49</v>
      </c>
      <c r="AG61" s="26">
        <v>0</v>
      </c>
      <c r="AH61" s="26">
        <v>0</v>
      </c>
      <c r="AI61" s="26">
        <v>0</v>
      </c>
    </row>
    <row r="62" spans="1:37" ht="51" hidden="1" customHeight="1" x14ac:dyDescent="0.25">
      <c r="B62" s="200"/>
      <c r="C62" s="228" t="s">
        <v>42</v>
      </c>
      <c r="D62" s="20">
        <v>80410</v>
      </c>
      <c r="E62" s="21" t="s">
        <v>107</v>
      </c>
      <c r="F62" s="22"/>
      <c r="G62" s="21" t="s">
        <v>79</v>
      </c>
      <c r="H62" s="21" t="s">
        <v>69</v>
      </c>
      <c r="I62" s="21">
        <v>2</v>
      </c>
      <c r="J62" s="233">
        <v>45656</v>
      </c>
      <c r="K62" s="21">
        <v>0</v>
      </c>
      <c r="L62" s="21">
        <v>0</v>
      </c>
      <c r="M62" s="186"/>
      <c r="N62" s="26"/>
      <c r="O62" s="26"/>
      <c r="P62" s="217"/>
      <c r="Q62" s="26"/>
      <c r="R62" s="26"/>
      <c r="S62" s="26"/>
      <c r="T62" s="26"/>
      <c r="U62" s="26"/>
      <c r="V62" s="26"/>
      <c r="W62" s="26"/>
      <c r="X62" s="26"/>
      <c r="Y62" s="26"/>
      <c r="Z62" s="263"/>
      <c r="AA62" s="263"/>
      <c r="AB62" s="263"/>
      <c r="AC62" s="263"/>
      <c r="AD62" s="263"/>
      <c r="AE62" s="263"/>
      <c r="AF62" s="26">
        <f t="shared" si="61"/>
        <v>0</v>
      </c>
      <c r="AG62" s="26">
        <v>0</v>
      </c>
      <c r="AH62" s="26">
        <v>0</v>
      </c>
      <c r="AI62" s="26">
        <v>0</v>
      </c>
    </row>
    <row r="63" spans="1:37" ht="30.75" customHeight="1" x14ac:dyDescent="0.25">
      <c r="A63" s="162"/>
      <c r="C63" s="83" t="s">
        <v>42</v>
      </c>
      <c r="D63" s="93"/>
      <c r="E63" s="84" t="s">
        <v>33</v>
      </c>
      <c r="F63" s="85" t="s">
        <v>467</v>
      </c>
      <c r="G63" s="84" t="s">
        <v>33</v>
      </c>
      <c r="H63" s="84" t="s">
        <v>33</v>
      </c>
      <c r="I63" s="84" t="s">
        <v>33</v>
      </c>
      <c r="J63" s="94" t="s">
        <v>33</v>
      </c>
      <c r="K63" s="84" t="s">
        <v>33</v>
      </c>
      <c r="L63" s="84" t="s">
        <v>33</v>
      </c>
      <c r="M63" s="181"/>
      <c r="N63" s="87">
        <f>N64</f>
        <v>12193.18</v>
      </c>
      <c r="O63" s="87">
        <f t="shared" ref="O63:AI63" si="62">O64</f>
        <v>0</v>
      </c>
      <c r="P63" s="120">
        <f t="shared" ref="P63:U63" si="63">P64</f>
        <v>0</v>
      </c>
      <c r="Q63" s="87">
        <f t="shared" si="63"/>
        <v>0</v>
      </c>
      <c r="R63" s="87">
        <f t="shared" si="63"/>
        <v>0</v>
      </c>
      <c r="S63" s="87">
        <f t="shared" si="63"/>
        <v>0</v>
      </c>
      <c r="T63" s="87">
        <f t="shared" si="63"/>
        <v>0</v>
      </c>
      <c r="U63" s="87">
        <f t="shared" si="63"/>
        <v>0</v>
      </c>
      <c r="V63" s="87">
        <f t="shared" ref="V63:AF63" si="64">SUM(V64:V68)</f>
        <v>0</v>
      </c>
      <c r="W63" s="87">
        <f t="shared" si="64"/>
        <v>0</v>
      </c>
      <c r="X63" s="87">
        <f t="shared" si="64"/>
        <v>1042.58</v>
      </c>
      <c r="Y63" s="87">
        <f t="shared" si="64"/>
        <v>0</v>
      </c>
      <c r="Z63" s="257">
        <f t="shared" si="64"/>
        <v>0</v>
      </c>
      <c r="AA63" s="257"/>
      <c r="AB63" s="257">
        <f t="shared" ref="AB63:AC63" si="65">SUM(AB64:AB68)</f>
        <v>0</v>
      </c>
      <c r="AC63" s="257">
        <f t="shared" si="65"/>
        <v>0</v>
      </c>
      <c r="AD63" s="257"/>
      <c r="AE63" s="257"/>
      <c r="AF63" s="87">
        <f t="shared" si="64"/>
        <v>13235.76</v>
      </c>
      <c r="AG63" s="87">
        <f t="shared" si="62"/>
        <v>0</v>
      </c>
      <c r="AH63" s="87">
        <f t="shared" si="62"/>
        <v>12027</v>
      </c>
      <c r="AI63" s="87">
        <f t="shared" si="62"/>
        <v>12193.18</v>
      </c>
    </row>
    <row r="64" spans="1:37" ht="45" x14ac:dyDescent="0.25">
      <c r="A64" s="162"/>
      <c r="B64" s="160" t="s">
        <v>268</v>
      </c>
      <c r="C64" s="34" t="s">
        <v>42</v>
      </c>
      <c r="D64" s="16">
        <v>80410</v>
      </c>
      <c r="E64" s="17" t="s">
        <v>107</v>
      </c>
      <c r="F64" s="18" t="s">
        <v>143</v>
      </c>
      <c r="G64" s="17" t="s">
        <v>70</v>
      </c>
      <c r="H64" s="17" t="s">
        <v>71</v>
      </c>
      <c r="I64" s="17">
        <v>276300</v>
      </c>
      <c r="J64" s="30">
        <v>45656</v>
      </c>
      <c r="K64" s="17">
        <v>276300</v>
      </c>
      <c r="L64" s="17">
        <v>276300</v>
      </c>
      <c r="M64" s="180"/>
      <c r="N64" s="25">
        <v>12193.18</v>
      </c>
      <c r="O64" s="25">
        <v>0</v>
      </c>
      <c r="P64" s="188"/>
      <c r="Q64" s="25"/>
      <c r="R64" s="25"/>
      <c r="S64" s="25"/>
      <c r="T64" s="25"/>
      <c r="U64" s="25"/>
      <c r="V64" s="25"/>
      <c r="W64" s="25"/>
      <c r="X64" s="25"/>
      <c r="Y64" s="25"/>
      <c r="Z64" s="259"/>
      <c r="AA64" s="259"/>
      <c r="AB64" s="259"/>
      <c r="AC64" s="259"/>
      <c r="AD64" s="259"/>
      <c r="AE64" s="259"/>
      <c r="AF64" s="25">
        <f>SUM(N64:AC64)-O64</f>
        <v>12193.18</v>
      </c>
      <c r="AG64" s="25">
        <v>0</v>
      </c>
      <c r="AH64" s="25">
        <f>12193.18-166.18</f>
        <v>12027</v>
      </c>
      <c r="AI64" s="25">
        <v>12193.18</v>
      </c>
    </row>
    <row r="65" spans="1:35" ht="30" x14ac:dyDescent="0.25">
      <c r="A65" s="162"/>
      <c r="B65" s="247" t="s">
        <v>421</v>
      </c>
      <c r="C65" s="34" t="s">
        <v>42</v>
      </c>
      <c r="D65" s="16">
        <v>80410</v>
      </c>
      <c r="E65" s="17" t="s">
        <v>107</v>
      </c>
      <c r="F65" s="18" t="s">
        <v>407</v>
      </c>
      <c r="G65" s="21" t="s">
        <v>74</v>
      </c>
      <c r="H65" s="17" t="s">
        <v>38</v>
      </c>
      <c r="I65" s="17">
        <v>1</v>
      </c>
      <c r="J65" s="30">
        <v>45656</v>
      </c>
      <c r="K65" s="17">
        <v>0</v>
      </c>
      <c r="L65" s="17">
        <v>0</v>
      </c>
      <c r="M65" s="180"/>
      <c r="N65" s="25"/>
      <c r="O65" s="25"/>
      <c r="P65" s="188"/>
      <c r="Q65" s="25"/>
      <c r="R65" s="25"/>
      <c r="S65" s="25"/>
      <c r="T65" s="25"/>
      <c r="U65" s="25"/>
      <c r="V65" s="25"/>
      <c r="W65" s="25"/>
      <c r="X65" s="25">
        <v>367.68</v>
      </c>
      <c r="Y65" s="25"/>
      <c r="Z65" s="259"/>
      <c r="AA65" s="259"/>
      <c r="AB65" s="259"/>
      <c r="AC65" s="259"/>
      <c r="AD65" s="259"/>
      <c r="AE65" s="259"/>
      <c r="AF65" s="25">
        <f>SUM(N65:AC65)-O65</f>
        <v>367.68</v>
      </c>
      <c r="AG65" s="25">
        <v>0</v>
      </c>
      <c r="AH65" s="25">
        <v>0</v>
      </c>
      <c r="AI65" s="25">
        <v>0</v>
      </c>
    </row>
    <row r="66" spans="1:35" ht="30" x14ac:dyDescent="0.25">
      <c r="A66" s="162"/>
      <c r="B66" s="247" t="s">
        <v>422</v>
      </c>
      <c r="C66" s="34" t="s">
        <v>42</v>
      </c>
      <c r="D66" s="16">
        <v>80410</v>
      </c>
      <c r="E66" s="17" t="s">
        <v>107</v>
      </c>
      <c r="F66" s="18" t="s">
        <v>408</v>
      </c>
      <c r="G66" s="21" t="s">
        <v>74</v>
      </c>
      <c r="H66" s="17" t="s">
        <v>38</v>
      </c>
      <c r="I66" s="17">
        <v>1</v>
      </c>
      <c r="J66" s="30">
        <v>45656</v>
      </c>
      <c r="K66" s="17">
        <v>0</v>
      </c>
      <c r="L66" s="17">
        <v>0</v>
      </c>
      <c r="M66" s="180"/>
      <c r="N66" s="25"/>
      <c r="O66" s="25"/>
      <c r="P66" s="188"/>
      <c r="Q66" s="25"/>
      <c r="R66" s="25"/>
      <c r="S66" s="25"/>
      <c r="T66" s="25"/>
      <c r="U66" s="25"/>
      <c r="V66" s="25"/>
      <c r="W66" s="25"/>
      <c r="X66" s="25">
        <v>320.69</v>
      </c>
      <c r="Y66" s="25"/>
      <c r="Z66" s="259"/>
      <c r="AA66" s="259"/>
      <c r="AB66" s="259"/>
      <c r="AC66" s="259"/>
      <c r="AD66" s="259"/>
      <c r="AE66" s="259"/>
      <c r="AF66" s="25">
        <f>SUM(N66:AC66)-O66</f>
        <v>320.69</v>
      </c>
      <c r="AG66" s="25">
        <v>0</v>
      </c>
      <c r="AH66" s="25">
        <v>0</v>
      </c>
      <c r="AI66" s="25">
        <v>0</v>
      </c>
    </row>
    <row r="67" spans="1:35" ht="30" x14ac:dyDescent="0.25">
      <c r="A67" s="162"/>
      <c r="B67" s="247" t="s">
        <v>423</v>
      </c>
      <c r="C67" s="34" t="s">
        <v>42</v>
      </c>
      <c r="D67" s="16">
        <v>80410</v>
      </c>
      <c r="E67" s="17" t="s">
        <v>107</v>
      </c>
      <c r="F67" s="18" t="s">
        <v>409</v>
      </c>
      <c r="G67" s="21" t="s">
        <v>74</v>
      </c>
      <c r="H67" s="17" t="s">
        <v>38</v>
      </c>
      <c r="I67" s="17">
        <v>1</v>
      </c>
      <c r="J67" s="30">
        <v>45656</v>
      </c>
      <c r="K67" s="17">
        <v>0</v>
      </c>
      <c r="L67" s="17">
        <v>0</v>
      </c>
      <c r="M67" s="180"/>
      <c r="N67" s="25"/>
      <c r="O67" s="25"/>
      <c r="P67" s="188"/>
      <c r="Q67" s="25"/>
      <c r="R67" s="25"/>
      <c r="S67" s="25"/>
      <c r="T67" s="25"/>
      <c r="U67" s="25"/>
      <c r="V67" s="25"/>
      <c r="W67" s="25"/>
      <c r="X67" s="25">
        <v>204.64</v>
      </c>
      <c r="Y67" s="25"/>
      <c r="Z67" s="259"/>
      <c r="AA67" s="259"/>
      <c r="AB67" s="259"/>
      <c r="AC67" s="259"/>
      <c r="AD67" s="259"/>
      <c r="AE67" s="259"/>
      <c r="AF67" s="25">
        <f>SUM(N67:AC67)-O67</f>
        <v>204.64</v>
      </c>
      <c r="AG67" s="25">
        <v>0</v>
      </c>
      <c r="AH67" s="25">
        <v>0</v>
      </c>
      <c r="AI67" s="25">
        <v>0</v>
      </c>
    </row>
    <row r="68" spans="1:35" ht="30" x14ac:dyDescent="0.25">
      <c r="A68" s="162"/>
      <c r="B68" s="247" t="s">
        <v>424</v>
      </c>
      <c r="C68" s="34" t="s">
        <v>42</v>
      </c>
      <c r="D68" s="16">
        <v>80410</v>
      </c>
      <c r="E68" s="17" t="s">
        <v>107</v>
      </c>
      <c r="F68" s="18" t="s">
        <v>410</v>
      </c>
      <c r="G68" s="21" t="s">
        <v>74</v>
      </c>
      <c r="H68" s="17" t="s">
        <v>38</v>
      </c>
      <c r="I68" s="17">
        <v>1</v>
      </c>
      <c r="J68" s="30">
        <v>45656</v>
      </c>
      <c r="K68" s="17">
        <v>0</v>
      </c>
      <c r="L68" s="17">
        <v>0</v>
      </c>
      <c r="M68" s="180"/>
      <c r="N68" s="25"/>
      <c r="O68" s="25"/>
      <c r="P68" s="188"/>
      <c r="Q68" s="25"/>
      <c r="R68" s="25"/>
      <c r="S68" s="25"/>
      <c r="T68" s="25"/>
      <c r="U68" s="25"/>
      <c r="V68" s="25"/>
      <c r="W68" s="25"/>
      <c r="X68" s="25">
        <v>149.57</v>
      </c>
      <c r="Y68" s="25"/>
      <c r="Z68" s="259"/>
      <c r="AA68" s="259"/>
      <c r="AB68" s="259"/>
      <c r="AC68" s="259"/>
      <c r="AD68" s="259"/>
      <c r="AE68" s="259"/>
      <c r="AF68" s="25">
        <f>SUM(N68:AC68)-O68</f>
        <v>149.57</v>
      </c>
      <c r="AG68" s="25">
        <v>0</v>
      </c>
      <c r="AH68" s="25">
        <v>0</v>
      </c>
      <c r="AI68" s="25">
        <v>0</v>
      </c>
    </row>
    <row r="69" spans="1:35" ht="30.75" customHeight="1" x14ac:dyDescent="0.25">
      <c r="A69" s="162"/>
      <c r="C69" s="83" t="s">
        <v>42</v>
      </c>
      <c r="D69" s="93"/>
      <c r="E69" s="84" t="s">
        <v>33</v>
      </c>
      <c r="F69" s="85" t="s">
        <v>183</v>
      </c>
      <c r="G69" s="84" t="s">
        <v>33</v>
      </c>
      <c r="H69" s="84" t="s">
        <v>33</v>
      </c>
      <c r="I69" s="84" t="s">
        <v>33</v>
      </c>
      <c r="J69" s="94" t="s">
        <v>33</v>
      </c>
      <c r="K69" s="84" t="s">
        <v>33</v>
      </c>
      <c r="L69" s="84" t="s">
        <v>33</v>
      </c>
      <c r="M69" s="181"/>
      <c r="N69" s="87">
        <f>N70</f>
        <v>1643.57</v>
      </c>
      <c r="O69" s="87">
        <f t="shared" ref="O69:AI69" si="66">O70</f>
        <v>0</v>
      </c>
      <c r="P69" s="120">
        <f t="shared" ref="P69:Y69" si="67">SUM(P70:P72)</f>
        <v>430</v>
      </c>
      <c r="Q69" s="87">
        <f t="shared" si="67"/>
        <v>0</v>
      </c>
      <c r="R69" s="87">
        <f t="shared" si="67"/>
        <v>0</v>
      </c>
      <c r="S69" s="87">
        <f t="shared" si="67"/>
        <v>0</v>
      </c>
      <c r="T69" s="87">
        <f t="shared" si="67"/>
        <v>0</v>
      </c>
      <c r="U69" s="87">
        <f t="shared" si="67"/>
        <v>0</v>
      </c>
      <c r="V69" s="87">
        <f t="shared" si="67"/>
        <v>0</v>
      </c>
      <c r="W69" s="87">
        <f t="shared" si="67"/>
        <v>0</v>
      </c>
      <c r="X69" s="87">
        <f t="shared" si="67"/>
        <v>0</v>
      </c>
      <c r="Y69" s="87">
        <f t="shared" si="67"/>
        <v>0</v>
      </c>
      <c r="Z69" s="257">
        <f>SUM(Z70:Z72)</f>
        <v>0</v>
      </c>
      <c r="AA69" s="257"/>
      <c r="AB69" s="257">
        <f>SUM(AB70:AB73)</f>
        <v>440.35</v>
      </c>
      <c r="AC69" s="257">
        <f>SUM(AC70:AC73)</f>
        <v>0</v>
      </c>
      <c r="AD69" s="257"/>
      <c r="AE69" s="257"/>
      <c r="AF69" s="87">
        <f>SUM(AF70:AF73)</f>
        <v>2513.9199999999996</v>
      </c>
      <c r="AG69" s="87">
        <f t="shared" si="66"/>
        <v>0</v>
      </c>
      <c r="AH69" s="87">
        <f t="shared" si="66"/>
        <v>1643.57</v>
      </c>
      <c r="AI69" s="87">
        <f t="shared" si="66"/>
        <v>1643.57</v>
      </c>
    </row>
    <row r="70" spans="1:35" ht="60" x14ac:dyDescent="0.25">
      <c r="B70" s="160" t="s">
        <v>269</v>
      </c>
      <c r="C70" s="14" t="s">
        <v>42</v>
      </c>
      <c r="D70" s="12">
        <v>80410</v>
      </c>
      <c r="E70" s="12" t="s">
        <v>82</v>
      </c>
      <c r="F70" s="3" t="s">
        <v>130</v>
      </c>
      <c r="G70" s="12" t="s">
        <v>79</v>
      </c>
      <c r="H70" s="12" t="s">
        <v>69</v>
      </c>
      <c r="I70" s="12">
        <v>614</v>
      </c>
      <c r="J70" s="30">
        <v>45656</v>
      </c>
      <c r="K70" s="12">
        <v>614</v>
      </c>
      <c r="L70" s="12">
        <v>614</v>
      </c>
      <c r="M70" s="174"/>
      <c r="N70" s="24">
        <v>1643.57</v>
      </c>
      <c r="O70" s="24">
        <v>0</v>
      </c>
      <c r="P70" s="31"/>
      <c r="Q70" s="24"/>
      <c r="R70" s="24"/>
      <c r="S70" s="24"/>
      <c r="T70" s="24"/>
      <c r="U70" s="24"/>
      <c r="V70" s="24"/>
      <c r="W70" s="24"/>
      <c r="X70" s="24"/>
      <c r="Y70" s="24"/>
      <c r="Z70" s="258"/>
      <c r="AA70" s="258"/>
      <c r="AB70" s="258"/>
      <c r="AC70" s="258"/>
      <c r="AD70" s="258"/>
      <c r="AE70" s="258"/>
      <c r="AF70" s="25">
        <f>SUM(N70:AC70)-O70</f>
        <v>1643.57</v>
      </c>
      <c r="AG70" s="24">
        <v>0</v>
      </c>
      <c r="AH70" s="24">
        <f>N70</f>
        <v>1643.57</v>
      </c>
      <c r="AI70" s="24">
        <f t="shared" ref="AI70" si="68">AH70</f>
        <v>1643.57</v>
      </c>
    </row>
    <row r="71" spans="1:35" ht="30" x14ac:dyDescent="0.25">
      <c r="B71" s="160" t="s">
        <v>341</v>
      </c>
      <c r="C71" s="228" t="s">
        <v>42</v>
      </c>
      <c r="D71" s="21">
        <v>80410</v>
      </c>
      <c r="E71" s="21" t="s">
        <v>335</v>
      </c>
      <c r="F71" s="22" t="s">
        <v>334</v>
      </c>
      <c r="G71" s="21" t="s">
        <v>74</v>
      </c>
      <c r="H71" s="21" t="s">
        <v>38</v>
      </c>
      <c r="I71" s="21">
        <v>1</v>
      </c>
      <c r="J71" s="233">
        <v>45656</v>
      </c>
      <c r="K71" s="21">
        <v>0</v>
      </c>
      <c r="L71" s="21">
        <v>0</v>
      </c>
      <c r="M71" s="186"/>
      <c r="N71" s="26"/>
      <c r="O71" s="26"/>
      <c r="P71" s="217">
        <v>235.55</v>
      </c>
      <c r="Q71" s="26"/>
      <c r="R71" s="26"/>
      <c r="S71" s="26"/>
      <c r="T71" s="26"/>
      <c r="U71" s="26"/>
      <c r="V71" s="26"/>
      <c r="W71" s="26"/>
      <c r="X71" s="26"/>
      <c r="Y71" s="26"/>
      <c r="Z71" s="263"/>
      <c r="AA71" s="263"/>
      <c r="AB71" s="263"/>
      <c r="AC71" s="263"/>
      <c r="AD71" s="263"/>
      <c r="AE71" s="263"/>
      <c r="AF71" s="26">
        <f>SUM(N71:AC71)-O71</f>
        <v>235.55</v>
      </c>
      <c r="AG71" s="26">
        <v>0</v>
      </c>
      <c r="AH71" s="26">
        <v>0</v>
      </c>
      <c r="AI71" s="26">
        <v>0</v>
      </c>
    </row>
    <row r="72" spans="1:35" ht="30" x14ac:dyDescent="0.25">
      <c r="B72" s="160" t="s">
        <v>342</v>
      </c>
      <c r="C72" s="228" t="s">
        <v>42</v>
      </c>
      <c r="D72" s="21">
        <v>80410</v>
      </c>
      <c r="E72" s="21" t="s">
        <v>107</v>
      </c>
      <c r="F72" s="22" t="s">
        <v>336</v>
      </c>
      <c r="G72" s="21" t="s">
        <v>79</v>
      </c>
      <c r="H72" s="21" t="s">
        <v>69</v>
      </c>
      <c r="I72" s="21">
        <v>1</v>
      </c>
      <c r="J72" s="233">
        <v>45656</v>
      </c>
      <c r="K72" s="21">
        <v>0</v>
      </c>
      <c r="L72" s="21">
        <v>0</v>
      </c>
      <c r="M72" s="186"/>
      <c r="N72" s="26"/>
      <c r="O72" s="26"/>
      <c r="P72" s="217">
        <f>549.41-354.96</f>
        <v>194.45</v>
      </c>
      <c r="Q72" s="26"/>
      <c r="R72" s="26"/>
      <c r="S72" s="26"/>
      <c r="T72" s="26"/>
      <c r="U72" s="26"/>
      <c r="V72" s="26"/>
      <c r="W72" s="26"/>
      <c r="X72" s="26"/>
      <c r="Y72" s="26"/>
      <c r="Z72" s="263"/>
      <c r="AA72" s="263"/>
      <c r="AB72" s="263"/>
      <c r="AC72" s="263"/>
      <c r="AD72" s="263"/>
      <c r="AE72" s="263"/>
      <c r="AF72" s="26">
        <f>SUM(N72:AC72)-O72</f>
        <v>194.45</v>
      </c>
      <c r="AG72" s="26">
        <v>0</v>
      </c>
      <c r="AH72" s="26">
        <v>0</v>
      </c>
      <c r="AI72" s="26">
        <v>0</v>
      </c>
    </row>
    <row r="73" spans="1:35" ht="45" x14ac:dyDescent="0.25">
      <c r="C73" s="228" t="s">
        <v>42</v>
      </c>
      <c r="D73" s="21">
        <v>80410</v>
      </c>
      <c r="E73" s="21" t="s">
        <v>107</v>
      </c>
      <c r="F73" s="22" t="s">
        <v>445</v>
      </c>
      <c r="G73" s="21" t="s">
        <v>74</v>
      </c>
      <c r="H73" s="21" t="s">
        <v>38</v>
      </c>
      <c r="I73" s="21">
        <v>1</v>
      </c>
      <c r="J73" s="233">
        <v>45656</v>
      </c>
      <c r="K73" s="21">
        <v>0</v>
      </c>
      <c r="L73" s="21">
        <v>0</v>
      </c>
      <c r="M73" s="18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3"/>
      <c r="AA73" s="263"/>
      <c r="AB73" s="263">
        <v>440.35</v>
      </c>
      <c r="AC73" s="263"/>
      <c r="AD73" s="263"/>
      <c r="AE73" s="263"/>
      <c r="AF73" s="26">
        <f>SUM(N73:AC73)-O73</f>
        <v>440.35</v>
      </c>
      <c r="AG73" s="26">
        <v>0</v>
      </c>
      <c r="AH73" s="26">
        <v>0</v>
      </c>
      <c r="AI73" s="26">
        <v>0</v>
      </c>
    </row>
    <row r="74" spans="1:35" ht="21" customHeight="1" x14ac:dyDescent="0.25">
      <c r="A74" s="162"/>
      <c r="C74" s="83" t="s">
        <v>42</v>
      </c>
      <c r="D74" s="93"/>
      <c r="E74" s="84" t="s">
        <v>33</v>
      </c>
      <c r="F74" s="85" t="s">
        <v>184</v>
      </c>
      <c r="G74" s="84" t="s">
        <v>33</v>
      </c>
      <c r="H74" s="84" t="s">
        <v>33</v>
      </c>
      <c r="I74" s="84" t="s">
        <v>33</v>
      </c>
      <c r="J74" s="94" t="s">
        <v>33</v>
      </c>
      <c r="K74" s="84" t="s">
        <v>33</v>
      </c>
      <c r="L74" s="84" t="s">
        <v>33</v>
      </c>
      <c r="M74" s="181"/>
      <c r="N74" s="87">
        <f>N75+N76</f>
        <v>2000</v>
      </c>
      <c r="O74" s="87">
        <f t="shared" ref="O74:AI74" si="69">O75+O76</f>
        <v>0</v>
      </c>
      <c r="P74" s="120">
        <f t="shared" ref="P74:AF74" si="70">P75+P76</f>
        <v>0</v>
      </c>
      <c r="Q74" s="87">
        <f t="shared" si="70"/>
        <v>0</v>
      </c>
      <c r="R74" s="87">
        <f t="shared" si="70"/>
        <v>0</v>
      </c>
      <c r="S74" s="87">
        <f t="shared" si="70"/>
        <v>0</v>
      </c>
      <c r="T74" s="87">
        <f t="shared" si="70"/>
        <v>0</v>
      </c>
      <c r="U74" s="87">
        <f t="shared" si="70"/>
        <v>0</v>
      </c>
      <c r="V74" s="87">
        <f t="shared" si="70"/>
        <v>0</v>
      </c>
      <c r="W74" s="87">
        <f t="shared" si="70"/>
        <v>0</v>
      </c>
      <c r="X74" s="87">
        <f t="shared" si="70"/>
        <v>-660</v>
      </c>
      <c r="Y74" s="87">
        <f t="shared" ref="Y74:Z74" si="71">Y75+Y76</f>
        <v>0</v>
      </c>
      <c r="Z74" s="257">
        <f t="shared" si="71"/>
        <v>0</v>
      </c>
      <c r="AA74" s="257"/>
      <c r="AB74" s="257">
        <f t="shared" ref="AB74:AC74" si="72">AB75+AB76</f>
        <v>0</v>
      </c>
      <c r="AC74" s="257">
        <f t="shared" si="72"/>
        <v>0</v>
      </c>
      <c r="AD74" s="257"/>
      <c r="AE74" s="257"/>
      <c r="AF74" s="87">
        <f t="shared" si="70"/>
        <v>1340</v>
      </c>
      <c r="AG74" s="87">
        <f t="shared" ref="AG74" si="73">AG75+AG76</f>
        <v>0</v>
      </c>
      <c r="AH74" s="87">
        <f t="shared" si="69"/>
        <v>0</v>
      </c>
      <c r="AI74" s="87">
        <f t="shared" si="69"/>
        <v>0</v>
      </c>
    </row>
    <row r="75" spans="1:35" ht="30" x14ac:dyDescent="0.25">
      <c r="A75" s="162"/>
      <c r="B75" s="160" t="s">
        <v>270</v>
      </c>
      <c r="C75" s="15" t="s">
        <v>42</v>
      </c>
      <c r="D75" s="16">
        <v>80410</v>
      </c>
      <c r="E75" s="12" t="s">
        <v>107</v>
      </c>
      <c r="F75" s="18" t="s">
        <v>100</v>
      </c>
      <c r="G75" s="17" t="s">
        <v>74</v>
      </c>
      <c r="H75" s="17" t="s">
        <v>38</v>
      </c>
      <c r="I75" s="17">
        <v>1</v>
      </c>
      <c r="J75" s="30">
        <v>45656</v>
      </c>
      <c r="K75" s="17">
        <v>0</v>
      </c>
      <c r="L75" s="17">
        <v>0</v>
      </c>
      <c r="M75" s="180"/>
      <c r="N75" s="25">
        <v>1000</v>
      </c>
      <c r="O75" s="25">
        <v>0</v>
      </c>
      <c r="P75" s="188"/>
      <c r="Q75" s="25"/>
      <c r="R75" s="25"/>
      <c r="S75" s="25"/>
      <c r="T75" s="25"/>
      <c r="U75" s="25"/>
      <c r="V75" s="25"/>
      <c r="W75" s="25"/>
      <c r="X75" s="25">
        <v>-335</v>
      </c>
      <c r="Y75" s="25"/>
      <c r="Z75" s="259"/>
      <c r="AA75" s="259"/>
      <c r="AB75" s="259"/>
      <c r="AC75" s="259"/>
      <c r="AD75" s="259"/>
      <c r="AE75" s="259"/>
      <c r="AF75" s="25">
        <f>SUM(N75:AC75)-O75</f>
        <v>665</v>
      </c>
      <c r="AG75" s="25">
        <v>0</v>
      </c>
      <c r="AH75" s="25">
        <v>0</v>
      </c>
      <c r="AI75" s="25">
        <v>0</v>
      </c>
    </row>
    <row r="76" spans="1:35" ht="30.75" customHeight="1" x14ac:dyDescent="0.25">
      <c r="A76" s="162"/>
      <c r="B76" s="160" t="s">
        <v>271</v>
      </c>
      <c r="C76" s="19" t="s">
        <v>42</v>
      </c>
      <c r="D76" s="16">
        <v>80410</v>
      </c>
      <c r="E76" s="12" t="s">
        <v>107</v>
      </c>
      <c r="F76" s="18" t="s">
        <v>101</v>
      </c>
      <c r="G76" s="17" t="s">
        <v>74</v>
      </c>
      <c r="H76" s="17" t="s">
        <v>38</v>
      </c>
      <c r="I76" s="17">
        <v>1</v>
      </c>
      <c r="J76" s="30">
        <v>45656</v>
      </c>
      <c r="K76" s="17">
        <v>0</v>
      </c>
      <c r="L76" s="17">
        <v>0</v>
      </c>
      <c r="M76" s="180"/>
      <c r="N76" s="25">
        <v>1000</v>
      </c>
      <c r="O76" s="25">
        <v>0</v>
      </c>
      <c r="P76" s="188"/>
      <c r="Q76" s="25"/>
      <c r="R76" s="25"/>
      <c r="S76" s="25"/>
      <c r="T76" s="25"/>
      <c r="U76" s="25"/>
      <c r="V76" s="25"/>
      <c r="W76" s="25"/>
      <c r="X76" s="25">
        <f>-325</f>
        <v>-325</v>
      </c>
      <c r="Y76" s="25"/>
      <c r="Z76" s="259"/>
      <c r="AA76" s="259"/>
      <c r="AB76" s="259"/>
      <c r="AC76" s="259"/>
      <c r="AD76" s="259"/>
      <c r="AE76" s="259"/>
      <c r="AF76" s="25">
        <f>SUM(N76:AC76)-O76</f>
        <v>675</v>
      </c>
      <c r="AG76" s="25">
        <v>0</v>
      </c>
      <c r="AH76" s="25">
        <v>0</v>
      </c>
      <c r="AI76" s="25">
        <v>0</v>
      </c>
    </row>
    <row r="77" spans="1:35" s="45" customFormat="1" ht="21.75" hidden="1" customHeight="1" x14ac:dyDescent="0.2">
      <c r="A77" s="163"/>
      <c r="B77" s="161"/>
      <c r="C77" s="83" t="s">
        <v>42</v>
      </c>
      <c r="D77" s="93"/>
      <c r="E77" s="84" t="s">
        <v>32</v>
      </c>
      <c r="F77" s="85" t="s">
        <v>62</v>
      </c>
      <c r="G77" s="84" t="s">
        <v>33</v>
      </c>
      <c r="H77" s="84" t="s">
        <v>33</v>
      </c>
      <c r="I77" s="84" t="s">
        <v>33</v>
      </c>
      <c r="J77" s="84" t="s">
        <v>33</v>
      </c>
      <c r="K77" s="84" t="s">
        <v>33</v>
      </c>
      <c r="L77" s="84" t="s">
        <v>33</v>
      </c>
      <c r="M77" s="181"/>
      <c r="N77" s="87">
        <f>SUM(N78:N78)</f>
        <v>0</v>
      </c>
      <c r="O77" s="87">
        <v>0</v>
      </c>
      <c r="P77" s="120">
        <f t="shared" ref="P77:AF77" si="74">SUM(P78:P78)</f>
        <v>0</v>
      </c>
      <c r="Q77" s="87">
        <f t="shared" si="74"/>
        <v>0</v>
      </c>
      <c r="R77" s="87">
        <f t="shared" si="74"/>
        <v>0</v>
      </c>
      <c r="S77" s="87">
        <f t="shared" si="74"/>
        <v>0</v>
      </c>
      <c r="T77" s="87">
        <f t="shared" si="74"/>
        <v>0</v>
      </c>
      <c r="U77" s="87">
        <f t="shared" si="74"/>
        <v>0</v>
      </c>
      <c r="V77" s="87">
        <f t="shared" si="74"/>
        <v>0</v>
      </c>
      <c r="W77" s="87">
        <f t="shared" si="74"/>
        <v>0</v>
      </c>
      <c r="X77" s="87">
        <f t="shared" si="74"/>
        <v>0</v>
      </c>
      <c r="Y77" s="87">
        <f t="shared" si="74"/>
        <v>0</v>
      </c>
      <c r="Z77" s="257">
        <f t="shared" si="74"/>
        <v>0</v>
      </c>
      <c r="AA77" s="257"/>
      <c r="AB77" s="257">
        <f t="shared" ref="AB77:AC77" si="75">SUM(AB78:AB78)</f>
        <v>0</v>
      </c>
      <c r="AC77" s="257">
        <f t="shared" si="75"/>
        <v>0</v>
      </c>
      <c r="AD77" s="257"/>
      <c r="AE77" s="257"/>
      <c r="AF77" s="87">
        <f t="shared" si="74"/>
        <v>0</v>
      </c>
      <c r="AG77" s="87">
        <v>0</v>
      </c>
      <c r="AH77" s="87">
        <f>SUM(AH78:AH78)</f>
        <v>0</v>
      </c>
      <c r="AI77" s="87">
        <f>SUM(AI78:AI78)</f>
        <v>0</v>
      </c>
    </row>
    <row r="78" spans="1:35" ht="27.75" hidden="1" customHeight="1" x14ac:dyDescent="0.25">
      <c r="A78" s="162"/>
      <c r="C78" s="34" t="s">
        <v>42</v>
      </c>
      <c r="D78" s="16"/>
      <c r="E78" s="17" t="s">
        <v>107</v>
      </c>
      <c r="F78" s="18" t="s">
        <v>90</v>
      </c>
      <c r="G78" s="17" t="s">
        <v>74</v>
      </c>
      <c r="H78" s="17" t="s">
        <v>38</v>
      </c>
      <c r="I78" s="17">
        <v>0</v>
      </c>
      <c r="J78" s="17" t="s">
        <v>35</v>
      </c>
      <c r="K78" s="17">
        <v>0</v>
      </c>
      <c r="L78" s="17">
        <v>0</v>
      </c>
      <c r="M78" s="180"/>
      <c r="N78" s="25">
        <v>0</v>
      </c>
      <c r="O78" s="25">
        <v>0</v>
      </c>
      <c r="P78" s="188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9">
        <v>0</v>
      </c>
      <c r="AA78" s="259"/>
      <c r="AB78" s="259">
        <v>0</v>
      </c>
      <c r="AC78" s="259">
        <v>0</v>
      </c>
      <c r="AD78" s="259"/>
      <c r="AE78" s="259"/>
      <c r="AF78" s="25">
        <v>0</v>
      </c>
      <c r="AG78" s="25">
        <v>0</v>
      </c>
      <c r="AH78" s="25">
        <v>0</v>
      </c>
      <c r="AI78" s="25">
        <v>0</v>
      </c>
    </row>
    <row r="79" spans="1:35" s="45" customFormat="1" ht="18" customHeight="1" x14ac:dyDescent="0.2">
      <c r="A79" s="163"/>
      <c r="B79" s="161"/>
      <c r="C79" s="83" t="s">
        <v>42</v>
      </c>
      <c r="D79" s="84"/>
      <c r="E79" s="84" t="s">
        <v>32</v>
      </c>
      <c r="F79" s="85" t="s">
        <v>134</v>
      </c>
      <c r="G79" s="84" t="s">
        <v>33</v>
      </c>
      <c r="H79" s="84" t="s">
        <v>33</v>
      </c>
      <c r="I79" s="84" t="s">
        <v>33</v>
      </c>
      <c r="J79" s="84" t="s">
        <v>33</v>
      </c>
      <c r="K79" s="84" t="s">
        <v>33</v>
      </c>
      <c r="L79" s="84" t="s">
        <v>33</v>
      </c>
      <c r="M79" s="181"/>
      <c r="N79" s="87">
        <f>SUM(N80:N83)</f>
        <v>26685.09</v>
      </c>
      <c r="O79" s="87">
        <f t="shared" ref="O79:AI79" si="76">SUM(O80:O82)</f>
        <v>0</v>
      </c>
      <c r="P79" s="120">
        <f>SUM(P80:P83)</f>
        <v>0</v>
      </c>
      <c r="Q79" s="87">
        <f t="shared" ref="Q79:X79" si="77">SUM(Q80:Q82)</f>
        <v>0</v>
      </c>
      <c r="R79" s="87">
        <f t="shared" si="77"/>
        <v>0</v>
      </c>
      <c r="S79" s="87">
        <f t="shared" si="77"/>
        <v>0</v>
      </c>
      <c r="T79" s="87">
        <f t="shared" si="77"/>
        <v>0</v>
      </c>
      <c r="U79" s="87">
        <f t="shared" si="77"/>
        <v>0</v>
      </c>
      <c r="V79" s="87">
        <f t="shared" si="77"/>
        <v>0</v>
      </c>
      <c r="W79" s="87">
        <f t="shared" si="77"/>
        <v>0</v>
      </c>
      <c r="X79" s="87">
        <f t="shared" si="77"/>
        <v>0</v>
      </c>
      <c r="Y79" s="87">
        <f t="shared" ref="Y79:Z79" si="78">SUM(Y80:Y82)</f>
        <v>0</v>
      </c>
      <c r="Z79" s="257">
        <f t="shared" si="78"/>
        <v>0</v>
      </c>
      <c r="AA79" s="257"/>
      <c r="AB79" s="257">
        <f t="shared" ref="AB79:AC79" si="79">SUM(AB80:AB82)</f>
        <v>0</v>
      </c>
      <c r="AC79" s="257">
        <f t="shared" si="79"/>
        <v>0</v>
      </c>
      <c r="AD79" s="257"/>
      <c r="AE79" s="257"/>
      <c r="AF79" s="87">
        <f>SUM(AF80:AF83)</f>
        <v>26685.09</v>
      </c>
      <c r="AG79" s="87">
        <f t="shared" ref="AG79" si="80">SUM(AG80:AG82)</f>
        <v>0</v>
      </c>
      <c r="AH79" s="87">
        <f t="shared" si="76"/>
        <v>29185.09</v>
      </c>
      <c r="AI79" s="87">
        <f t="shared" si="76"/>
        <v>29185.09</v>
      </c>
    </row>
    <row r="80" spans="1:35" ht="30" x14ac:dyDescent="0.25">
      <c r="B80" s="160" t="s">
        <v>272</v>
      </c>
      <c r="C80" s="14" t="s">
        <v>42</v>
      </c>
      <c r="D80" s="13">
        <v>80410</v>
      </c>
      <c r="E80" s="12" t="s">
        <v>107</v>
      </c>
      <c r="F80" s="3" t="s">
        <v>52</v>
      </c>
      <c r="G80" s="12" t="s">
        <v>70</v>
      </c>
      <c r="H80" s="12" t="s">
        <v>105</v>
      </c>
      <c r="I80" s="12">
        <v>1966.44</v>
      </c>
      <c r="J80" s="30">
        <v>45656</v>
      </c>
      <c r="K80" s="12">
        <v>1969.6</v>
      </c>
      <c r="L80" s="12">
        <f>K80</f>
        <v>1969.6</v>
      </c>
      <c r="M80" s="174"/>
      <c r="N80" s="24">
        <v>18474.95</v>
      </c>
      <c r="O80" s="24">
        <v>0</v>
      </c>
      <c r="P80" s="31">
        <v>-25.47</v>
      </c>
      <c r="Q80" s="24"/>
      <c r="R80" s="24"/>
      <c r="S80" s="24"/>
      <c r="T80" s="24"/>
      <c r="U80" s="24"/>
      <c r="V80" s="24"/>
      <c r="W80" s="24"/>
      <c r="X80" s="24"/>
      <c r="Y80" s="24"/>
      <c r="Z80" s="258"/>
      <c r="AA80" s="258"/>
      <c r="AB80" s="258"/>
      <c r="AC80" s="258"/>
      <c r="AD80" s="258"/>
      <c r="AE80" s="258"/>
      <c r="AF80" s="25">
        <f>SUM(N80:AC80)-O80</f>
        <v>18449.48</v>
      </c>
      <c r="AG80" s="24">
        <v>0</v>
      </c>
      <c r="AH80" s="24">
        <v>18474.95</v>
      </c>
      <c r="AI80" s="24">
        <v>18474.95</v>
      </c>
    </row>
    <row r="81" spans="1:37" ht="33" customHeight="1" x14ac:dyDescent="0.25">
      <c r="B81" s="160" t="s">
        <v>273</v>
      </c>
      <c r="C81" s="14" t="s">
        <v>42</v>
      </c>
      <c r="D81" s="13">
        <v>80410</v>
      </c>
      <c r="E81" s="12" t="s">
        <v>107</v>
      </c>
      <c r="F81" s="3" t="s">
        <v>53</v>
      </c>
      <c r="G81" s="12" t="s">
        <v>104</v>
      </c>
      <c r="H81" s="12" t="s">
        <v>38</v>
      </c>
      <c r="I81" s="12">
        <v>4070</v>
      </c>
      <c r="J81" s="30">
        <v>45656</v>
      </c>
      <c r="K81" s="12">
        <f>I81</f>
        <v>4070</v>
      </c>
      <c r="L81" s="12">
        <f>K81</f>
        <v>4070</v>
      </c>
      <c r="M81" s="174"/>
      <c r="N81" s="24">
        <v>7500</v>
      </c>
      <c r="O81" s="24">
        <v>0</v>
      </c>
      <c r="P81" s="31"/>
      <c r="Q81" s="24"/>
      <c r="R81" s="24"/>
      <c r="S81" s="24"/>
      <c r="T81" s="24"/>
      <c r="U81" s="24"/>
      <c r="V81" s="24"/>
      <c r="W81" s="24"/>
      <c r="X81" s="24"/>
      <c r="Y81" s="24"/>
      <c r="Z81" s="258"/>
      <c r="AA81" s="258"/>
      <c r="AB81" s="258"/>
      <c r="AC81" s="258"/>
      <c r="AD81" s="258"/>
      <c r="AE81" s="258"/>
      <c r="AF81" s="25">
        <f>SUM(N81:AC81)-O81</f>
        <v>7500</v>
      </c>
      <c r="AG81" s="24">
        <v>0</v>
      </c>
      <c r="AH81" s="24">
        <v>10000</v>
      </c>
      <c r="AI81" s="24">
        <v>10000</v>
      </c>
    </row>
    <row r="82" spans="1:37" ht="33" customHeight="1" x14ac:dyDescent="0.25">
      <c r="B82" s="160" t="s">
        <v>274</v>
      </c>
      <c r="C82" s="14" t="s">
        <v>42</v>
      </c>
      <c r="D82" s="13">
        <v>80410</v>
      </c>
      <c r="E82" s="12" t="s">
        <v>107</v>
      </c>
      <c r="F82" s="3" t="s">
        <v>55</v>
      </c>
      <c r="G82" s="12" t="s">
        <v>106</v>
      </c>
      <c r="H82" s="12" t="s">
        <v>69</v>
      </c>
      <c r="I82" s="12">
        <v>11</v>
      </c>
      <c r="J82" s="30">
        <v>45656</v>
      </c>
      <c r="K82" s="12">
        <f>I82</f>
        <v>11</v>
      </c>
      <c r="L82" s="12">
        <f>K82</f>
        <v>11</v>
      </c>
      <c r="M82" s="174"/>
      <c r="N82" s="24">
        <v>710.14</v>
      </c>
      <c r="O82" s="24">
        <v>0</v>
      </c>
      <c r="P82" s="31"/>
      <c r="Q82" s="24"/>
      <c r="R82" s="24"/>
      <c r="S82" s="24"/>
      <c r="T82" s="24"/>
      <c r="U82" s="24"/>
      <c r="V82" s="24"/>
      <c r="W82" s="24"/>
      <c r="X82" s="24"/>
      <c r="Y82" s="24"/>
      <c r="Z82" s="258"/>
      <c r="AA82" s="258"/>
      <c r="AB82" s="258"/>
      <c r="AC82" s="258"/>
      <c r="AD82" s="258"/>
      <c r="AE82" s="258"/>
      <c r="AF82" s="25">
        <f>SUM(N82:AC82)-O82</f>
        <v>710.14</v>
      </c>
      <c r="AG82" s="24">
        <v>0</v>
      </c>
      <c r="AH82" s="24">
        <v>710.14</v>
      </c>
      <c r="AI82" s="24">
        <v>710.14</v>
      </c>
    </row>
    <row r="83" spans="1:37" ht="41.25" customHeight="1" x14ac:dyDescent="0.25">
      <c r="B83" s="160" t="s">
        <v>349</v>
      </c>
      <c r="C83" s="228" t="s">
        <v>42</v>
      </c>
      <c r="D83" s="20">
        <v>80410</v>
      </c>
      <c r="E83" s="21" t="s">
        <v>107</v>
      </c>
      <c r="F83" s="22" t="s">
        <v>344</v>
      </c>
      <c r="G83" s="21" t="s">
        <v>351</v>
      </c>
      <c r="H83" s="21" t="s">
        <v>38</v>
      </c>
      <c r="I83" s="21">
        <v>17</v>
      </c>
      <c r="J83" s="233">
        <v>45656</v>
      </c>
      <c r="K83" s="21">
        <v>0</v>
      </c>
      <c r="L83" s="21">
        <v>0</v>
      </c>
      <c r="M83" s="186"/>
      <c r="N83" s="26"/>
      <c r="O83" s="26"/>
      <c r="P83" s="217">
        <v>25.47</v>
      </c>
      <c r="Q83" s="26"/>
      <c r="R83" s="26"/>
      <c r="S83" s="26"/>
      <c r="T83" s="26"/>
      <c r="U83" s="26"/>
      <c r="V83" s="26"/>
      <c r="W83" s="26"/>
      <c r="X83" s="26"/>
      <c r="Y83" s="26"/>
      <c r="Z83" s="263"/>
      <c r="AA83" s="263"/>
      <c r="AB83" s="263"/>
      <c r="AC83" s="263"/>
      <c r="AD83" s="263"/>
      <c r="AE83" s="263"/>
      <c r="AF83" s="26">
        <f>SUM(N83:AC83)-O83</f>
        <v>25.47</v>
      </c>
      <c r="AG83" s="26">
        <v>0</v>
      </c>
      <c r="AH83" s="26">
        <v>0</v>
      </c>
      <c r="AI83" s="26">
        <v>0</v>
      </c>
    </row>
    <row r="84" spans="1:37" s="52" customFormat="1" ht="21" customHeight="1" x14ac:dyDescent="0.2">
      <c r="A84" s="161"/>
      <c r="B84" s="161"/>
      <c r="C84" s="54" t="s">
        <v>159</v>
      </c>
      <c r="D84" s="48" t="s">
        <v>33</v>
      </c>
      <c r="E84" s="48" t="s">
        <v>33</v>
      </c>
      <c r="F84" s="49" t="s">
        <v>229</v>
      </c>
      <c r="G84" s="48" t="s">
        <v>33</v>
      </c>
      <c r="H84" s="48" t="s">
        <v>33</v>
      </c>
      <c r="I84" s="50" t="s">
        <v>33</v>
      </c>
      <c r="J84" s="50" t="s">
        <v>33</v>
      </c>
      <c r="K84" s="50" t="s">
        <v>33</v>
      </c>
      <c r="L84" s="50" t="s">
        <v>33</v>
      </c>
      <c r="M84" s="190"/>
      <c r="N84" s="51">
        <f t="shared" ref="N84:Z84" si="81">N85+N95+N100+N172</f>
        <v>132701.23000000001</v>
      </c>
      <c r="O84" s="51">
        <f t="shared" si="81"/>
        <v>39600</v>
      </c>
      <c r="P84" s="51">
        <f t="shared" si="81"/>
        <v>-684.3</v>
      </c>
      <c r="Q84" s="51">
        <f t="shared" si="81"/>
        <v>0</v>
      </c>
      <c r="R84" s="51">
        <f t="shared" si="81"/>
        <v>4227.91</v>
      </c>
      <c r="S84" s="51">
        <f t="shared" si="81"/>
        <v>-191.74</v>
      </c>
      <c r="T84" s="51">
        <f t="shared" si="81"/>
        <v>0</v>
      </c>
      <c r="U84" s="51">
        <f t="shared" si="81"/>
        <v>0</v>
      </c>
      <c r="V84" s="51">
        <f t="shared" si="81"/>
        <v>0</v>
      </c>
      <c r="W84" s="51">
        <f t="shared" si="81"/>
        <v>7380.55</v>
      </c>
      <c r="X84" s="51">
        <f t="shared" si="81"/>
        <v>-299.88000000000011</v>
      </c>
      <c r="Y84" s="51">
        <f t="shared" si="81"/>
        <v>3340.03</v>
      </c>
      <c r="Z84" s="254">
        <f t="shared" si="81"/>
        <v>-10.52</v>
      </c>
      <c r="AA84" s="254"/>
      <c r="AB84" s="254">
        <f t="shared" ref="AB84:AC84" si="82">AB85+AB95+AB100+AB172</f>
        <v>11113.13</v>
      </c>
      <c r="AC84" s="254">
        <f t="shared" si="82"/>
        <v>-238.02</v>
      </c>
      <c r="AD84" s="254"/>
      <c r="AE84" s="254"/>
      <c r="AF84" s="51">
        <f t="shared" ref="AF84:AI84" si="83">AF85+AF95+AF100+AF172</f>
        <v>159822.35</v>
      </c>
      <c r="AG84" s="51">
        <f t="shared" si="83"/>
        <v>46980.55</v>
      </c>
      <c r="AH84" s="51">
        <f t="shared" si="83"/>
        <v>48704.579999999994</v>
      </c>
      <c r="AI84" s="51">
        <f t="shared" si="83"/>
        <v>48705.649999999994</v>
      </c>
      <c r="AJ84" s="153">
        <f>N84+AH84+AI84</f>
        <v>230111.46</v>
      </c>
    </row>
    <row r="85" spans="1:37" s="100" customFormat="1" ht="38.25" customHeight="1" x14ac:dyDescent="0.25">
      <c r="A85" s="164"/>
      <c r="B85" s="168"/>
      <c r="C85" s="108" t="s">
        <v>43</v>
      </c>
      <c r="D85" s="109" t="s">
        <v>33</v>
      </c>
      <c r="E85" s="110" t="s">
        <v>32</v>
      </c>
      <c r="F85" s="111" t="s">
        <v>186</v>
      </c>
      <c r="G85" s="110" t="s">
        <v>74</v>
      </c>
      <c r="H85" s="110" t="s">
        <v>33</v>
      </c>
      <c r="I85" s="112">
        <v>6</v>
      </c>
      <c r="J85" s="112" t="s">
        <v>32</v>
      </c>
      <c r="K85" s="112">
        <v>0</v>
      </c>
      <c r="L85" s="112">
        <v>0</v>
      </c>
      <c r="M85" s="193"/>
      <c r="N85" s="170">
        <f t="shared" ref="N85:Y85" si="84">SUM(N87:N89)</f>
        <v>48569.770000000004</v>
      </c>
      <c r="O85" s="170">
        <f t="shared" si="84"/>
        <v>39600</v>
      </c>
      <c r="P85" s="170">
        <f t="shared" si="84"/>
        <v>0</v>
      </c>
      <c r="Q85" s="170">
        <f>SUM(Q87:Q89)</f>
        <v>0</v>
      </c>
      <c r="R85" s="170">
        <f>SUM(R87:R94)</f>
        <v>1189.0300000000002</v>
      </c>
      <c r="S85" s="170">
        <f>SUM(S87:S94)</f>
        <v>0</v>
      </c>
      <c r="T85" s="170">
        <f t="shared" si="84"/>
        <v>0</v>
      </c>
      <c r="U85" s="170">
        <f t="shared" si="84"/>
        <v>0</v>
      </c>
      <c r="V85" s="170">
        <f>SUM(V87:V89)</f>
        <v>-1665.15</v>
      </c>
      <c r="W85" s="170">
        <f t="shared" si="84"/>
        <v>2052.12</v>
      </c>
      <c r="X85" s="170">
        <f>SUM(X87:X94)</f>
        <v>-1784.9700000000003</v>
      </c>
      <c r="Y85" s="170">
        <f t="shared" si="84"/>
        <v>0</v>
      </c>
      <c r="Z85" s="255">
        <f>SUM(Z87:Z89)</f>
        <v>0</v>
      </c>
      <c r="AA85" s="255"/>
      <c r="AB85" s="255">
        <f>SUM(AB87:AB90)</f>
        <v>300</v>
      </c>
      <c r="AC85" s="255">
        <f>SUM(AC87:AC90)</f>
        <v>0</v>
      </c>
      <c r="AD85" s="255"/>
      <c r="AE85" s="255"/>
      <c r="AF85" s="170">
        <f>SUM(AF87:AF94)</f>
        <v>51144.759999999995</v>
      </c>
      <c r="AG85" s="170">
        <f>SUM(AG87:AG89)</f>
        <v>41652.120000000003</v>
      </c>
      <c r="AH85" s="170">
        <f>SUM(AH87:AH89)</f>
        <v>0</v>
      </c>
      <c r="AI85" s="170">
        <f>SUM(AI87:AI89)</f>
        <v>0</v>
      </c>
    </row>
    <row r="86" spans="1:37" s="100" customFormat="1" ht="48.75" customHeight="1" x14ac:dyDescent="0.25">
      <c r="A86" s="164"/>
      <c r="B86" s="168"/>
      <c r="C86" s="135" t="s">
        <v>43</v>
      </c>
      <c r="D86" s="136"/>
      <c r="E86" s="137" t="s">
        <v>33</v>
      </c>
      <c r="F86" s="138" t="s">
        <v>230</v>
      </c>
      <c r="G86" s="137" t="s">
        <v>33</v>
      </c>
      <c r="H86" s="137" t="s">
        <v>33</v>
      </c>
      <c r="I86" s="139" t="s">
        <v>33</v>
      </c>
      <c r="J86" s="139" t="s">
        <v>32</v>
      </c>
      <c r="K86" s="139" t="s">
        <v>33</v>
      </c>
      <c r="L86" s="139" t="s">
        <v>33</v>
      </c>
      <c r="M86" s="193"/>
      <c r="N86" s="171">
        <f>N87+N88+N89</f>
        <v>48569.770000000004</v>
      </c>
      <c r="O86" s="171">
        <f>O87+O88+O89</f>
        <v>39600</v>
      </c>
      <c r="P86" s="171">
        <f>P87+P88+P89</f>
        <v>0</v>
      </c>
      <c r="Q86" s="171">
        <f>Q87+Q88+Q89</f>
        <v>0</v>
      </c>
      <c r="R86" s="171">
        <f t="shared" ref="R86:Z86" si="85">SUM(R87:R94)</f>
        <v>1189.0300000000002</v>
      </c>
      <c r="S86" s="171">
        <f t="shared" si="85"/>
        <v>0</v>
      </c>
      <c r="T86" s="171">
        <f t="shared" si="85"/>
        <v>0</v>
      </c>
      <c r="U86" s="171">
        <f t="shared" si="85"/>
        <v>0</v>
      </c>
      <c r="V86" s="171">
        <f t="shared" si="85"/>
        <v>-1665.15</v>
      </c>
      <c r="W86" s="171">
        <f t="shared" si="85"/>
        <v>2052.12</v>
      </c>
      <c r="X86" s="171">
        <f t="shared" si="85"/>
        <v>-1784.9700000000003</v>
      </c>
      <c r="Y86" s="171">
        <f t="shared" si="85"/>
        <v>0</v>
      </c>
      <c r="Z86" s="171">
        <f t="shared" si="85"/>
        <v>0</v>
      </c>
      <c r="AA86" s="171"/>
      <c r="AB86" s="171">
        <f>SUM(AB87:AB94)</f>
        <v>300</v>
      </c>
      <c r="AC86" s="171">
        <f>SUM(AC87:AC94)</f>
        <v>0</v>
      </c>
      <c r="AD86" s="171"/>
      <c r="AE86" s="171"/>
      <c r="AF86" s="171">
        <f>SUM(AF87:AF94)</f>
        <v>51144.759999999995</v>
      </c>
      <c r="AG86" s="171">
        <f>AG87+AG88+AG89</f>
        <v>41652.120000000003</v>
      </c>
      <c r="AH86" s="171">
        <f>AH87+AH88+AH89</f>
        <v>0</v>
      </c>
      <c r="AI86" s="171">
        <f>AI87+AI88+AI89</f>
        <v>0</v>
      </c>
    </row>
    <row r="87" spans="1:37" customFormat="1" ht="69.75" customHeight="1" x14ac:dyDescent="0.25">
      <c r="A87" s="165"/>
      <c r="B87" s="169" t="s">
        <v>280</v>
      </c>
      <c r="C87" s="37" t="s">
        <v>43</v>
      </c>
      <c r="D87" s="28">
        <v>80510</v>
      </c>
      <c r="E87" s="39" t="s">
        <v>107</v>
      </c>
      <c r="F87" s="77" t="s">
        <v>187</v>
      </c>
      <c r="G87" s="28" t="s">
        <v>188</v>
      </c>
      <c r="H87" s="28" t="s">
        <v>38</v>
      </c>
      <c r="I87" s="28">
        <v>1</v>
      </c>
      <c r="J87" s="101">
        <v>45656</v>
      </c>
      <c r="K87" s="28">
        <v>0</v>
      </c>
      <c r="L87" s="28">
        <v>0</v>
      </c>
      <c r="M87" s="182"/>
      <c r="N87" s="43">
        <v>4416.08</v>
      </c>
      <c r="O87" s="43">
        <v>0</v>
      </c>
      <c r="P87" s="213"/>
      <c r="Q87" s="43"/>
      <c r="R87" s="43"/>
      <c r="S87" s="43"/>
      <c r="T87" s="43"/>
      <c r="U87" s="43"/>
      <c r="V87" s="43">
        <v>-1665.15</v>
      </c>
      <c r="W87" s="43"/>
      <c r="X87" s="43"/>
      <c r="Y87" s="43"/>
      <c r="Z87" s="258"/>
      <c r="AA87" s="258"/>
      <c r="AB87" s="258"/>
      <c r="AC87" s="258"/>
      <c r="AD87" s="258"/>
      <c r="AE87" s="258"/>
      <c r="AF87" s="25">
        <f>SUM(N87:AC87)-O87</f>
        <v>2750.93</v>
      </c>
      <c r="AG87" s="43">
        <v>0</v>
      </c>
      <c r="AH87" s="43">
        <v>0</v>
      </c>
      <c r="AI87" s="43">
        <v>0</v>
      </c>
    </row>
    <row r="88" spans="1:37" customFormat="1" ht="63.75" customHeight="1" x14ac:dyDescent="0.25">
      <c r="A88" s="165"/>
      <c r="B88" s="169" t="s">
        <v>277</v>
      </c>
      <c r="C88" s="37" t="s">
        <v>43</v>
      </c>
      <c r="D88" s="250" t="s">
        <v>425</v>
      </c>
      <c r="E88" s="39" t="s">
        <v>107</v>
      </c>
      <c r="F88" s="77" t="s">
        <v>226</v>
      </c>
      <c r="G88" s="28" t="s">
        <v>188</v>
      </c>
      <c r="H88" s="28" t="s">
        <v>38</v>
      </c>
      <c r="I88" s="28">
        <v>1</v>
      </c>
      <c r="J88" s="101">
        <v>45656</v>
      </c>
      <c r="K88" s="28">
        <v>0</v>
      </c>
      <c r="L88" s="28">
        <v>0</v>
      </c>
      <c r="M88" s="182"/>
      <c r="N88" s="43">
        <f>4495-264.37-76.94</f>
        <v>4153.6900000000005</v>
      </c>
      <c r="O88" s="43">
        <v>0</v>
      </c>
      <c r="P88" s="213"/>
      <c r="Q88" s="43"/>
      <c r="R88" s="43"/>
      <c r="S88" s="43"/>
      <c r="T88" s="43"/>
      <c r="U88" s="43"/>
      <c r="V88" s="43"/>
      <c r="W88" s="43">
        <v>2052.12</v>
      </c>
      <c r="X88" s="43">
        <v>-2785.61</v>
      </c>
      <c r="Y88" s="43"/>
      <c r="Z88" s="258"/>
      <c r="AA88" s="258"/>
      <c r="AB88" s="258"/>
      <c r="AC88" s="258"/>
      <c r="AD88" s="258"/>
      <c r="AE88" s="258"/>
      <c r="AF88" s="25">
        <f>SUM(N88:AC88)-O88</f>
        <v>3420.2000000000003</v>
      </c>
      <c r="AG88" s="43">
        <f>W88</f>
        <v>2052.12</v>
      </c>
      <c r="AH88" s="43">
        <v>0</v>
      </c>
      <c r="AI88" s="43">
        <v>0</v>
      </c>
    </row>
    <row r="89" spans="1:37" customFormat="1" ht="47.25" x14ac:dyDescent="0.25">
      <c r="A89" s="165"/>
      <c r="B89" s="169" t="s">
        <v>276</v>
      </c>
      <c r="C89" s="37" t="s">
        <v>43</v>
      </c>
      <c r="D89" s="28" t="s">
        <v>275</v>
      </c>
      <c r="E89" s="39" t="s">
        <v>107</v>
      </c>
      <c r="F89" s="103" t="s">
        <v>355</v>
      </c>
      <c r="G89" s="28" t="s">
        <v>188</v>
      </c>
      <c r="H89" s="28" t="s">
        <v>38</v>
      </c>
      <c r="I89" s="28">
        <v>1</v>
      </c>
      <c r="J89" s="101">
        <v>45656</v>
      </c>
      <c r="K89" s="28">
        <v>0</v>
      </c>
      <c r="L89" s="28">
        <v>0</v>
      </c>
      <c r="M89" s="182"/>
      <c r="N89" s="43">
        <v>40000</v>
      </c>
      <c r="O89" s="43">
        <v>39600</v>
      </c>
      <c r="P89" s="213"/>
      <c r="Q89" s="43"/>
      <c r="R89" s="43"/>
      <c r="S89" s="43"/>
      <c r="T89" s="43"/>
      <c r="U89" s="43"/>
      <c r="V89" s="43"/>
      <c r="W89" s="43"/>
      <c r="X89" s="43"/>
      <c r="Y89" s="43"/>
      <c r="Z89" s="258"/>
      <c r="AA89" s="258"/>
      <c r="AB89" s="258"/>
      <c r="AC89" s="258"/>
      <c r="AD89" s="258">
        <v>2483.96</v>
      </c>
      <c r="AE89" s="258"/>
      <c r="AF89" s="25">
        <f>SUM(N89:AC89)-O89+AD89</f>
        <v>42483.96</v>
      </c>
      <c r="AG89" s="43">
        <v>39600</v>
      </c>
      <c r="AH89" s="43">
        <v>0</v>
      </c>
      <c r="AI89" s="43">
        <v>0</v>
      </c>
      <c r="AJ89" s="158"/>
    </row>
    <row r="90" spans="1:37" customFormat="1" ht="78.75" x14ac:dyDescent="0.25">
      <c r="A90" s="165"/>
      <c r="B90" s="169"/>
      <c r="C90" s="276" t="s">
        <v>43</v>
      </c>
      <c r="D90" s="277">
        <v>80510</v>
      </c>
      <c r="E90" s="39" t="s">
        <v>107</v>
      </c>
      <c r="F90" s="103" t="s">
        <v>459</v>
      </c>
      <c r="G90" s="104" t="s">
        <v>188</v>
      </c>
      <c r="H90" s="104" t="s">
        <v>38</v>
      </c>
      <c r="I90" s="104">
        <v>1</v>
      </c>
      <c r="J90" s="238">
        <v>45657</v>
      </c>
      <c r="K90" s="104">
        <v>0</v>
      </c>
      <c r="L90" s="104">
        <v>0</v>
      </c>
      <c r="M90" s="278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263"/>
      <c r="AA90" s="263"/>
      <c r="AB90" s="263">
        <v>300</v>
      </c>
      <c r="AC90" s="263"/>
      <c r="AD90" s="263"/>
      <c r="AE90" s="263"/>
      <c r="AF90" s="26">
        <f>SUM(N90:AC90)-O90</f>
        <v>300</v>
      </c>
      <c r="AG90" s="105">
        <v>0</v>
      </c>
      <c r="AH90" s="105">
        <v>0</v>
      </c>
      <c r="AI90" s="105">
        <v>0</v>
      </c>
      <c r="AJ90" s="158"/>
    </row>
    <row r="91" spans="1:37" customFormat="1" ht="42" hidden="1" customHeight="1" x14ac:dyDescent="0.25">
      <c r="A91" s="165"/>
      <c r="B91" s="275" t="s">
        <v>365</v>
      </c>
      <c r="C91" s="108" t="s">
        <v>44</v>
      </c>
      <c r="D91" s="109" t="s">
        <v>33</v>
      </c>
      <c r="E91" s="39" t="s">
        <v>107</v>
      </c>
      <c r="F91" s="111" t="s">
        <v>189</v>
      </c>
      <c r="G91" s="28" t="s">
        <v>188</v>
      </c>
      <c r="H91" s="28" t="s">
        <v>38</v>
      </c>
      <c r="I91" s="28">
        <v>1</v>
      </c>
      <c r="J91" s="101">
        <v>45657</v>
      </c>
      <c r="K91" s="110">
        <v>0</v>
      </c>
      <c r="L91" s="110">
        <v>0</v>
      </c>
      <c r="M91" s="183"/>
      <c r="N91" s="170">
        <v>0</v>
      </c>
      <c r="O91" s="170">
        <v>0</v>
      </c>
      <c r="P91" s="212">
        <v>0</v>
      </c>
      <c r="Q91" s="170">
        <v>0</v>
      </c>
      <c r="R91" s="170">
        <v>0</v>
      </c>
      <c r="S91" s="170"/>
      <c r="T91" s="170">
        <v>0</v>
      </c>
      <c r="U91" s="170">
        <v>0</v>
      </c>
      <c r="V91" s="170">
        <v>0</v>
      </c>
      <c r="W91" s="170">
        <v>0</v>
      </c>
      <c r="X91" s="170">
        <v>0</v>
      </c>
      <c r="Y91" s="170">
        <v>0</v>
      </c>
      <c r="Z91" s="255">
        <v>0</v>
      </c>
      <c r="AA91" s="255"/>
      <c r="AB91" s="255">
        <v>0</v>
      </c>
      <c r="AC91" s="255">
        <v>0</v>
      </c>
      <c r="AD91" s="255"/>
      <c r="AE91" s="255"/>
      <c r="AF91" s="170">
        <v>0</v>
      </c>
      <c r="AG91" s="170">
        <v>0</v>
      </c>
      <c r="AH91" s="170">
        <f>SUM(AH95:AH95)</f>
        <v>0</v>
      </c>
      <c r="AI91" s="170">
        <f>SUM(AI95:AI95)</f>
        <v>0</v>
      </c>
    </row>
    <row r="92" spans="1:37" customFormat="1" ht="61.5" hidden="1" customHeight="1" x14ac:dyDescent="0.25">
      <c r="A92" s="165"/>
      <c r="B92" s="275" t="s">
        <v>366</v>
      </c>
      <c r="C92" s="135" t="s">
        <v>44</v>
      </c>
      <c r="D92" s="136"/>
      <c r="E92" s="39" t="s">
        <v>107</v>
      </c>
      <c r="F92" s="138" t="s">
        <v>231</v>
      </c>
      <c r="G92" s="28" t="s">
        <v>188</v>
      </c>
      <c r="H92" s="28" t="s">
        <v>38</v>
      </c>
      <c r="I92" s="28">
        <v>1</v>
      </c>
      <c r="J92" s="101">
        <v>45658</v>
      </c>
      <c r="K92" s="137">
        <v>0</v>
      </c>
      <c r="L92" s="137">
        <v>0</v>
      </c>
      <c r="M92" s="184"/>
      <c r="N92" s="171">
        <v>0</v>
      </c>
      <c r="O92" s="171">
        <v>0</v>
      </c>
      <c r="P92" s="212">
        <v>0</v>
      </c>
      <c r="Q92" s="171">
        <v>0</v>
      </c>
      <c r="R92" s="171">
        <v>0</v>
      </c>
      <c r="S92" s="171"/>
      <c r="T92" s="171">
        <v>0</v>
      </c>
      <c r="U92" s="171">
        <v>0</v>
      </c>
      <c r="V92" s="171">
        <v>0</v>
      </c>
      <c r="W92" s="171">
        <v>0</v>
      </c>
      <c r="X92" s="171">
        <v>0</v>
      </c>
      <c r="Y92" s="171">
        <v>0</v>
      </c>
      <c r="Z92" s="256">
        <v>0</v>
      </c>
      <c r="AA92" s="256"/>
      <c r="AB92" s="256">
        <v>0</v>
      </c>
      <c r="AC92" s="256">
        <v>0</v>
      </c>
      <c r="AD92" s="256"/>
      <c r="AE92" s="256"/>
      <c r="AF92" s="171">
        <v>0</v>
      </c>
      <c r="AG92" s="171">
        <v>0</v>
      </c>
      <c r="AH92" s="171">
        <v>0</v>
      </c>
      <c r="AI92" s="171">
        <v>0</v>
      </c>
    </row>
    <row r="93" spans="1:37" customFormat="1" ht="61.5" customHeight="1" x14ac:dyDescent="0.25">
      <c r="A93" s="165"/>
      <c r="B93" s="246" t="s">
        <v>365</v>
      </c>
      <c r="C93" s="235" t="s">
        <v>43</v>
      </c>
      <c r="D93" s="236">
        <v>80510</v>
      </c>
      <c r="E93" s="103" t="s">
        <v>387</v>
      </c>
      <c r="F93" s="237" t="s">
        <v>369</v>
      </c>
      <c r="G93" s="104" t="s">
        <v>188</v>
      </c>
      <c r="H93" s="104" t="s">
        <v>38</v>
      </c>
      <c r="I93" s="104">
        <v>1</v>
      </c>
      <c r="J93" s="238">
        <v>45656</v>
      </c>
      <c r="K93" s="239">
        <v>0</v>
      </c>
      <c r="L93" s="239">
        <v>0</v>
      </c>
      <c r="M93" s="194"/>
      <c r="N93" s="214"/>
      <c r="O93" s="214"/>
      <c r="P93" s="214"/>
      <c r="Q93" s="214"/>
      <c r="R93" s="214">
        <v>589.59</v>
      </c>
      <c r="S93" s="214">
        <v>599.44000000000005</v>
      </c>
      <c r="T93" s="214"/>
      <c r="U93" s="214"/>
      <c r="V93" s="214"/>
      <c r="W93" s="214"/>
      <c r="X93" s="214"/>
      <c r="Y93" s="214"/>
      <c r="Z93" s="265"/>
      <c r="AA93" s="265"/>
      <c r="AB93" s="265"/>
      <c r="AC93" s="265"/>
      <c r="AD93" s="265"/>
      <c r="AE93" s="265"/>
      <c r="AF93" s="26">
        <f>SUM(N93:AC93)-O93</f>
        <v>1189.0300000000002</v>
      </c>
      <c r="AG93" s="214">
        <v>0</v>
      </c>
      <c r="AH93" s="214">
        <v>0</v>
      </c>
      <c r="AI93" s="214">
        <v>0</v>
      </c>
      <c r="AJ93" s="203"/>
      <c r="AK93" s="203"/>
    </row>
    <row r="94" spans="1:37" customFormat="1" ht="61.5" customHeight="1" x14ac:dyDescent="0.25">
      <c r="A94" s="165"/>
      <c r="B94" s="246" t="s">
        <v>366</v>
      </c>
      <c r="C94" s="235" t="s">
        <v>43</v>
      </c>
      <c r="D94" s="236">
        <v>80510</v>
      </c>
      <c r="E94" s="39" t="s">
        <v>107</v>
      </c>
      <c r="F94" s="237" t="s">
        <v>441</v>
      </c>
      <c r="G94" s="104" t="s">
        <v>188</v>
      </c>
      <c r="H94" s="104" t="s">
        <v>38</v>
      </c>
      <c r="I94" s="104">
        <v>1</v>
      </c>
      <c r="J94" s="238">
        <v>45656</v>
      </c>
      <c r="K94" s="239">
        <v>0</v>
      </c>
      <c r="L94" s="239">
        <v>0</v>
      </c>
      <c r="M94" s="194"/>
      <c r="N94" s="214"/>
      <c r="O94" s="214"/>
      <c r="P94" s="214"/>
      <c r="Q94" s="214"/>
      <c r="R94" s="214">
        <v>599.44000000000005</v>
      </c>
      <c r="S94" s="214">
        <v>-599.44000000000005</v>
      </c>
      <c r="T94" s="214"/>
      <c r="U94" s="214"/>
      <c r="V94" s="214"/>
      <c r="W94" s="214"/>
      <c r="X94" s="214">
        <v>1000.64</v>
      </c>
      <c r="Y94" s="214"/>
      <c r="Z94" s="265"/>
      <c r="AA94" s="265"/>
      <c r="AB94" s="265"/>
      <c r="AC94" s="265"/>
      <c r="AD94" s="265"/>
      <c r="AE94" s="265"/>
      <c r="AF94" s="26">
        <f>SUM(N94:AC94)-O94</f>
        <v>1000.64</v>
      </c>
      <c r="AG94" s="214">
        <v>0</v>
      </c>
      <c r="AH94" s="214">
        <v>0</v>
      </c>
      <c r="AI94" s="214">
        <v>0</v>
      </c>
      <c r="AJ94" s="203"/>
      <c r="AK94" s="203"/>
    </row>
    <row r="95" spans="1:37" customFormat="1" ht="37.5" customHeight="1" x14ac:dyDescent="0.25">
      <c r="A95" s="165"/>
      <c r="B95" s="169"/>
      <c r="C95" s="108" t="s">
        <v>45</v>
      </c>
      <c r="D95" s="109" t="s">
        <v>33</v>
      </c>
      <c r="E95" s="110" t="s">
        <v>32</v>
      </c>
      <c r="F95" s="111" t="s">
        <v>190</v>
      </c>
      <c r="G95" s="110" t="s">
        <v>477</v>
      </c>
      <c r="H95" s="110" t="s">
        <v>38</v>
      </c>
      <c r="I95" s="112">
        <f>I97+I99+I98</f>
        <v>3</v>
      </c>
      <c r="J95" s="112" t="s">
        <v>33</v>
      </c>
      <c r="K95" s="112">
        <v>0</v>
      </c>
      <c r="L95" s="112">
        <v>0</v>
      </c>
      <c r="M95" s="193"/>
      <c r="N95" s="170">
        <f>SUM(N97:N99)</f>
        <v>850</v>
      </c>
      <c r="O95" s="170">
        <v>0</v>
      </c>
      <c r="P95" s="170">
        <f t="shared" ref="P95:AF95" si="86">SUM(P97:P99)</f>
        <v>0</v>
      </c>
      <c r="Q95" s="170">
        <f t="shared" si="86"/>
        <v>0</v>
      </c>
      <c r="R95" s="170">
        <f t="shared" si="86"/>
        <v>0</v>
      </c>
      <c r="S95" s="170">
        <f t="shared" si="86"/>
        <v>300</v>
      </c>
      <c r="T95" s="170">
        <f t="shared" si="86"/>
        <v>0</v>
      </c>
      <c r="U95" s="170">
        <f t="shared" si="86"/>
        <v>0</v>
      </c>
      <c r="V95" s="170">
        <f t="shared" si="86"/>
        <v>0</v>
      </c>
      <c r="W95" s="170">
        <f t="shared" si="86"/>
        <v>0</v>
      </c>
      <c r="X95" s="170">
        <f t="shared" si="86"/>
        <v>0</v>
      </c>
      <c r="Y95" s="170">
        <f t="shared" ref="Y95:Z95" si="87">SUM(Y97:Y99)</f>
        <v>3340.03</v>
      </c>
      <c r="Z95" s="255">
        <f t="shared" si="87"/>
        <v>0</v>
      </c>
      <c r="AA95" s="255"/>
      <c r="AB95" s="255">
        <f t="shared" ref="AB95:AC95" si="88">SUM(AB97:AB99)</f>
        <v>0</v>
      </c>
      <c r="AC95" s="255">
        <f t="shared" si="88"/>
        <v>0</v>
      </c>
      <c r="AD95" s="255"/>
      <c r="AE95" s="255"/>
      <c r="AF95" s="170">
        <f t="shared" si="86"/>
        <v>4490.03</v>
      </c>
      <c r="AG95" s="170">
        <v>0</v>
      </c>
      <c r="AH95" s="170">
        <f>SUM(AH97:AH97)</f>
        <v>0</v>
      </c>
      <c r="AI95" s="170">
        <f>SUM(AI97:AI97)</f>
        <v>0</v>
      </c>
    </row>
    <row r="96" spans="1:37" customFormat="1" ht="37.5" customHeight="1" x14ac:dyDescent="0.25">
      <c r="A96" s="165"/>
      <c r="B96" s="169"/>
      <c r="C96" s="135" t="s">
        <v>45</v>
      </c>
      <c r="D96" s="136"/>
      <c r="E96" s="137" t="s">
        <v>33</v>
      </c>
      <c r="F96" s="138" t="s">
        <v>232</v>
      </c>
      <c r="G96" s="137" t="s">
        <v>33</v>
      </c>
      <c r="H96" s="137" t="s">
        <v>33</v>
      </c>
      <c r="I96" s="139" t="s">
        <v>33</v>
      </c>
      <c r="J96" s="139" t="s">
        <v>33</v>
      </c>
      <c r="K96" s="139" t="s">
        <v>33</v>
      </c>
      <c r="L96" s="139" t="s">
        <v>33</v>
      </c>
      <c r="M96" s="193"/>
      <c r="N96" s="171">
        <f>N97+N99</f>
        <v>850</v>
      </c>
      <c r="O96" s="171">
        <f t="shared" ref="O96:AI96" si="89">O97+O99</f>
        <v>0</v>
      </c>
      <c r="P96" s="171">
        <f>P97+P99</f>
        <v>0</v>
      </c>
      <c r="Q96" s="171">
        <f>Q97+Q99</f>
        <v>0</v>
      </c>
      <c r="R96" s="171">
        <f>SUM(R97:R99)</f>
        <v>0</v>
      </c>
      <c r="S96" s="171">
        <f>SUM(S97:S99)</f>
        <v>300</v>
      </c>
      <c r="T96" s="171">
        <f t="shared" ref="T96:Z96" si="90">T97+T99</f>
        <v>0</v>
      </c>
      <c r="U96" s="171">
        <f t="shared" si="90"/>
        <v>0</v>
      </c>
      <c r="V96" s="171">
        <f t="shared" si="90"/>
        <v>0</v>
      </c>
      <c r="W96" s="171">
        <f t="shared" si="90"/>
        <v>0</v>
      </c>
      <c r="X96" s="171">
        <f t="shared" si="90"/>
        <v>0</v>
      </c>
      <c r="Y96" s="171">
        <f t="shared" si="90"/>
        <v>3340.03</v>
      </c>
      <c r="Z96" s="256">
        <f t="shared" si="90"/>
        <v>0</v>
      </c>
      <c r="AA96" s="256"/>
      <c r="AB96" s="256">
        <f t="shared" ref="AB96:AC96" si="91">AB97+AB99</f>
        <v>0</v>
      </c>
      <c r="AC96" s="256">
        <f t="shared" si="91"/>
        <v>0</v>
      </c>
      <c r="AD96" s="256"/>
      <c r="AE96" s="256"/>
      <c r="AF96" s="171">
        <f>SUM(AF97:AF99)</f>
        <v>4490.03</v>
      </c>
      <c r="AG96" s="171">
        <f t="shared" ref="AG96" si="92">AG97+AG99</f>
        <v>0</v>
      </c>
      <c r="AH96" s="171">
        <f t="shared" si="89"/>
        <v>0</v>
      </c>
      <c r="AI96" s="171">
        <f t="shared" si="89"/>
        <v>0</v>
      </c>
    </row>
    <row r="97" spans="1:35" customFormat="1" ht="67.5" customHeight="1" x14ac:dyDescent="0.25">
      <c r="A97" s="165"/>
      <c r="B97" s="169" t="s">
        <v>281</v>
      </c>
      <c r="C97" s="37" t="s">
        <v>45</v>
      </c>
      <c r="D97" s="107">
        <v>80710</v>
      </c>
      <c r="E97" s="103" t="s">
        <v>191</v>
      </c>
      <c r="F97" s="103" t="s">
        <v>480</v>
      </c>
      <c r="G97" s="104" t="s">
        <v>74</v>
      </c>
      <c r="H97" s="104" t="s">
        <v>38</v>
      </c>
      <c r="I97" s="104">
        <v>1</v>
      </c>
      <c r="J97" s="101">
        <v>45656</v>
      </c>
      <c r="K97" s="104">
        <v>0</v>
      </c>
      <c r="L97" s="104">
        <v>0</v>
      </c>
      <c r="M97" s="194"/>
      <c r="N97" s="105">
        <v>600</v>
      </c>
      <c r="O97" s="105">
        <v>0</v>
      </c>
      <c r="P97" s="214"/>
      <c r="Q97" s="105"/>
      <c r="R97" s="105"/>
      <c r="S97" s="105">
        <v>300</v>
      </c>
      <c r="T97" s="105"/>
      <c r="U97" s="105"/>
      <c r="V97" s="105"/>
      <c r="W97" s="105"/>
      <c r="X97" s="105"/>
      <c r="Y97" s="105">
        <v>3340.03</v>
      </c>
      <c r="Z97" s="263"/>
      <c r="AA97" s="263"/>
      <c r="AB97" s="263"/>
      <c r="AC97" s="263"/>
      <c r="AD97" s="263"/>
      <c r="AE97" s="263"/>
      <c r="AF97" s="25">
        <v>3655.98</v>
      </c>
      <c r="AG97" s="105">
        <v>0</v>
      </c>
      <c r="AH97" s="105">
        <v>0</v>
      </c>
      <c r="AI97" s="105">
        <v>0</v>
      </c>
    </row>
    <row r="98" spans="1:35" s="209" customFormat="1" ht="51.75" customHeight="1" x14ac:dyDescent="0.25">
      <c r="A98" s="208"/>
      <c r="B98" s="246" t="s">
        <v>381</v>
      </c>
      <c r="C98" s="276" t="s">
        <v>45</v>
      </c>
      <c r="D98" s="293">
        <v>80710</v>
      </c>
      <c r="E98" s="103" t="s">
        <v>191</v>
      </c>
      <c r="F98" s="103" t="s">
        <v>478</v>
      </c>
      <c r="G98" s="104" t="s">
        <v>74</v>
      </c>
      <c r="H98" s="104" t="s">
        <v>38</v>
      </c>
      <c r="I98" s="104">
        <v>1</v>
      </c>
      <c r="J98" s="238">
        <v>45657</v>
      </c>
      <c r="K98" s="104"/>
      <c r="L98" s="104"/>
      <c r="M98" s="194"/>
      <c r="N98" s="105"/>
      <c r="O98" s="105"/>
      <c r="P98" s="214"/>
      <c r="Q98" s="105"/>
      <c r="R98" s="105"/>
      <c r="S98" s="105"/>
      <c r="T98" s="105"/>
      <c r="U98" s="105"/>
      <c r="V98" s="105"/>
      <c r="W98" s="105"/>
      <c r="X98" s="105"/>
      <c r="Y98" s="105"/>
      <c r="Z98" s="263"/>
      <c r="AA98" s="263"/>
      <c r="AB98" s="263"/>
      <c r="AC98" s="263"/>
      <c r="AD98" s="263"/>
      <c r="AE98" s="263"/>
      <c r="AF98" s="26">
        <v>584.04999999999995</v>
      </c>
      <c r="AG98" s="105"/>
      <c r="AH98" s="223"/>
      <c r="AI98" s="223"/>
    </row>
    <row r="99" spans="1:35" customFormat="1" ht="36.75" customHeight="1" x14ac:dyDescent="0.25">
      <c r="A99" s="165"/>
      <c r="B99" s="169" t="s">
        <v>278</v>
      </c>
      <c r="C99" s="37" t="s">
        <v>45</v>
      </c>
      <c r="D99" s="107">
        <v>80710</v>
      </c>
      <c r="E99" s="106" t="s">
        <v>107</v>
      </c>
      <c r="F99" s="77" t="s">
        <v>192</v>
      </c>
      <c r="G99" s="104" t="s">
        <v>74</v>
      </c>
      <c r="H99" s="28" t="s">
        <v>38</v>
      </c>
      <c r="I99" s="107">
        <v>1</v>
      </c>
      <c r="J99" s="101">
        <v>45656</v>
      </c>
      <c r="K99" s="107">
        <v>0</v>
      </c>
      <c r="L99" s="107">
        <v>0</v>
      </c>
      <c r="M99" s="195"/>
      <c r="N99" s="105">
        <v>250</v>
      </c>
      <c r="O99" s="105">
        <v>0</v>
      </c>
      <c r="P99" s="214"/>
      <c r="Q99" s="105"/>
      <c r="R99" s="105"/>
      <c r="S99" s="105"/>
      <c r="T99" s="105"/>
      <c r="U99" s="105"/>
      <c r="V99" s="105"/>
      <c r="W99" s="105"/>
      <c r="X99" s="105"/>
      <c r="Y99" s="105"/>
      <c r="Z99" s="263"/>
      <c r="AA99" s="263"/>
      <c r="AB99" s="263"/>
      <c r="AC99" s="263"/>
      <c r="AD99" s="263"/>
      <c r="AE99" s="263"/>
      <c r="AF99" s="25">
        <f>SUM(N99:AC99)-O99</f>
        <v>250</v>
      </c>
      <c r="AG99" s="105">
        <v>0</v>
      </c>
      <c r="AH99" s="105">
        <v>0</v>
      </c>
      <c r="AI99" s="105">
        <v>0</v>
      </c>
    </row>
    <row r="100" spans="1:35" ht="24" customHeight="1" x14ac:dyDescent="0.25">
      <c r="A100" s="162"/>
      <c r="C100" s="95" t="s">
        <v>46</v>
      </c>
      <c r="D100" s="114" t="s">
        <v>33</v>
      </c>
      <c r="E100" s="79" t="s">
        <v>33</v>
      </c>
      <c r="F100" s="80" t="s">
        <v>39</v>
      </c>
      <c r="G100" s="79" t="s">
        <v>72</v>
      </c>
      <c r="H100" s="79" t="s">
        <v>40</v>
      </c>
      <c r="I100" s="81">
        <f>I112+I113</f>
        <v>642226</v>
      </c>
      <c r="J100" s="81" t="s">
        <v>33</v>
      </c>
      <c r="K100" s="81">
        <v>642226</v>
      </c>
      <c r="L100" s="81">
        <v>642226</v>
      </c>
      <c r="M100" s="190"/>
      <c r="N100" s="82">
        <f t="shared" ref="N100:Z100" si="93">N101+N119+N158</f>
        <v>80123.08</v>
      </c>
      <c r="O100" s="82">
        <f t="shared" si="93"/>
        <v>0</v>
      </c>
      <c r="P100" s="82">
        <f t="shared" si="93"/>
        <v>-1164.3</v>
      </c>
      <c r="Q100" s="82">
        <f t="shared" si="93"/>
        <v>0</v>
      </c>
      <c r="R100" s="82">
        <f t="shared" si="93"/>
        <v>3038.8799999999997</v>
      </c>
      <c r="S100" s="82">
        <f t="shared" si="93"/>
        <v>-491.74</v>
      </c>
      <c r="T100" s="82">
        <f t="shared" si="93"/>
        <v>0</v>
      </c>
      <c r="U100" s="82">
        <f t="shared" si="93"/>
        <v>0</v>
      </c>
      <c r="V100" s="82">
        <f t="shared" si="93"/>
        <v>1665.15</v>
      </c>
      <c r="W100" s="82">
        <f t="shared" si="93"/>
        <v>5328.43</v>
      </c>
      <c r="X100" s="82">
        <f t="shared" si="93"/>
        <v>-917.75</v>
      </c>
      <c r="Y100" s="82">
        <f t="shared" si="93"/>
        <v>0</v>
      </c>
      <c r="Z100" s="255">
        <f t="shared" si="93"/>
        <v>-10.52</v>
      </c>
      <c r="AA100" s="255"/>
      <c r="AB100" s="255">
        <f t="shared" ref="AB100:AC100" si="94">AB101+AB119+AB158</f>
        <v>10813.13</v>
      </c>
      <c r="AC100" s="255">
        <f t="shared" si="94"/>
        <v>-238.02</v>
      </c>
      <c r="AD100" s="255"/>
      <c r="AE100" s="255"/>
      <c r="AF100" s="82">
        <f t="shared" ref="AF100:AI100" si="95">AF101+AF119+AF158</f>
        <v>98146.34</v>
      </c>
      <c r="AG100" s="82">
        <f t="shared" si="95"/>
        <v>5328.43</v>
      </c>
      <c r="AH100" s="82">
        <f t="shared" si="95"/>
        <v>45600.679999999993</v>
      </c>
      <c r="AI100" s="82">
        <f t="shared" si="95"/>
        <v>45601.749999999993</v>
      </c>
    </row>
    <row r="101" spans="1:35" ht="30.75" customHeight="1" x14ac:dyDescent="0.25">
      <c r="A101" s="162"/>
      <c r="C101" s="130" t="s">
        <v>46</v>
      </c>
      <c r="D101" s="140"/>
      <c r="E101" s="126" t="s">
        <v>33</v>
      </c>
      <c r="F101" s="127" t="s">
        <v>233</v>
      </c>
      <c r="G101" s="126" t="s">
        <v>33</v>
      </c>
      <c r="H101" s="126" t="s">
        <v>33</v>
      </c>
      <c r="I101" s="128" t="s">
        <v>33</v>
      </c>
      <c r="J101" s="128" t="s">
        <v>33</v>
      </c>
      <c r="K101" s="128" t="s">
        <v>33</v>
      </c>
      <c r="L101" s="128" t="s">
        <v>33</v>
      </c>
      <c r="M101" s="190"/>
      <c r="N101" s="129">
        <f t="shared" ref="N101:Z101" si="96">N102+N105+N111</f>
        <v>63239.909999999996</v>
      </c>
      <c r="O101" s="129">
        <f t="shared" si="96"/>
        <v>0</v>
      </c>
      <c r="P101" s="129">
        <f t="shared" si="96"/>
        <v>0</v>
      </c>
      <c r="Q101" s="129">
        <f t="shared" si="96"/>
        <v>0</v>
      </c>
      <c r="R101" s="129">
        <f t="shared" si="96"/>
        <v>0</v>
      </c>
      <c r="S101" s="129">
        <f t="shared" si="96"/>
        <v>0</v>
      </c>
      <c r="T101" s="129">
        <f t="shared" si="96"/>
        <v>0</v>
      </c>
      <c r="U101" s="129">
        <f t="shared" si="96"/>
        <v>0</v>
      </c>
      <c r="V101" s="129">
        <f t="shared" si="96"/>
        <v>0</v>
      </c>
      <c r="W101" s="129">
        <f t="shared" si="96"/>
        <v>3339.06</v>
      </c>
      <c r="X101" s="129">
        <f t="shared" si="96"/>
        <v>-2812.56</v>
      </c>
      <c r="Y101" s="129">
        <f t="shared" si="96"/>
        <v>0</v>
      </c>
      <c r="Z101" s="256">
        <f t="shared" si="96"/>
        <v>0</v>
      </c>
      <c r="AA101" s="256"/>
      <c r="AB101" s="256">
        <f t="shared" ref="AB101:AC101" si="97">AB102+AB105+AB111</f>
        <v>3275.2</v>
      </c>
      <c r="AC101" s="256">
        <f t="shared" si="97"/>
        <v>-238.02</v>
      </c>
      <c r="AD101" s="256"/>
      <c r="AE101" s="256"/>
      <c r="AF101" s="129">
        <f t="shared" ref="AF101:AI101" si="98">AF102+AF105+AF111</f>
        <v>66803.59</v>
      </c>
      <c r="AG101" s="129">
        <f t="shared" si="98"/>
        <v>3339.06</v>
      </c>
      <c r="AH101" s="129">
        <f t="shared" si="98"/>
        <v>39809.869999999995</v>
      </c>
      <c r="AI101" s="129">
        <f t="shared" si="98"/>
        <v>39809.869999999995</v>
      </c>
    </row>
    <row r="102" spans="1:35" ht="49.5" customHeight="1" x14ac:dyDescent="0.25">
      <c r="A102" s="162"/>
      <c r="C102" s="92" t="s">
        <v>46</v>
      </c>
      <c r="D102" s="93"/>
      <c r="E102" s="84" t="s">
        <v>33</v>
      </c>
      <c r="F102" s="85" t="s">
        <v>194</v>
      </c>
      <c r="G102" s="84" t="s">
        <v>33</v>
      </c>
      <c r="H102" s="84" t="s">
        <v>33</v>
      </c>
      <c r="I102" s="84" t="s">
        <v>33</v>
      </c>
      <c r="J102" s="94" t="s">
        <v>33</v>
      </c>
      <c r="K102" s="84" t="s">
        <v>33</v>
      </c>
      <c r="L102" s="84" t="s">
        <v>33</v>
      </c>
      <c r="M102" s="181"/>
      <c r="N102" s="87">
        <f>N103+N104</f>
        <v>12856.56</v>
      </c>
      <c r="O102" s="87">
        <f t="shared" ref="O102:AI102" si="99">O103+O104</f>
        <v>0</v>
      </c>
      <c r="P102" s="120">
        <f>P103+P104</f>
        <v>0</v>
      </c>
      <c r="Q102" s="87">
        <f>Q103+Q104</f>
        <v>0</v>
      </c>
      <c r="R102" s="87">
        <f>R103+R104</f>
        <v>0</v>
      </c>
      <c r="S102" s="87"/>
      <c r="T102" s="87">
        <f t="shared" ref="T102:AF102" si="100">T103+T104</f>
        <v>0</v>
      </c>
      <c r="U102" s="87">
        <f t="shared" si="100"/>
        <v>0</v>
      </c>
      <c r="V102" s="87">
        <f t="shared" si="100"/>
        <v>0</v>
      </c>
      <c r="W102" s="87">
        <f t="shared" si="100"/>
        <v>0</v>
      </c>
      <c r="X102" s="87">
        <f t="shared" si="100"/>
        <v>0</v>
      </c>
      <c r="Y102" s="87">
        <f t="shared" si="100"/>
        <v>0</v>
      </c>
      <c r="Z102" s="257">
        <f t="shared" si="100"/>
        <v>0</v>
      </c>
      <c r="AA102" s="257"/>
      <c r="AB102" s="257">
        <f t="shared" ref="AB102:AC102" si="101">AB103+AB104</f>
        <v>0</v>
      </c>
      <c r="AC102" s="257">
        <f t="shared" si="101"/>
        <v>0</v>
      </c>
      <c r="AD102" s="257"/>
      <c r="AE102" s="257"/>
      <c r="AF102" s="87">
        <f t="shared" si="100"/>
        <v>12856.56</v>
      </c>
      <c r="AG102" s="87">
        <f t="shared" ref="AG102" si="102">AG103+AG104</f>
        <v>0</v>
      </c>
      <c r="AH102" s="87">
        <f t="shared" si="99"/>
        <v>0</v>
      </c>
      <c r="AI102" s="87">
        <f t="shared" si="99"/>
        <v>0</v>
      </c>
    </row>
    <row r="103" spans="1:35" s="5" customFormat="1" ht="45.75" customHeight="1" x14ac:dyDescent="0.25">
      <c r="A103" s="160"/>
      <c r="B103" s="160" t="s">
        <v>282</v>
      </c>
      <c r="C103" s="240" t="s">
        <v>46</v>
      </c>
      <c r="D103" s="189">
        <v>80810</v>
      </c>
      <c r="E103" s="189" t="s">
        <v>49</v>
      </c>
      <c r="F103" s="226" t="s">
        <v>356</v>
      </c>
      <c r="G103" s="189" t="s">
        <v>67</v>
      </c>
      <c r="H103" s="189" t="s">
        <v>38</v>
      </c>
      <c r="I103" s="189">
        <v>1</v>
      </c>
      <c r="J103" s="30">
        <v>45656</v>
      </c>
      <c r="K103" s="12">
        <v>0</v>
      </c>
      <c r="L103" s="12">
        <v>0</v>
      </c>
      <c r="M103" s="174"/>
      <c r="N103" s="172">
        <v>10514.16</v>
      </c>
      <c r="O103" s="24">
        <v>0</v>
      </c>
      <c r="P103" s="215"/>
      <c r="Q103" s="172"/>
      <c r="R103" s="172"/>
      <c r="S103" s="172"/>
      <c r="T103" s="172"/>
      <c r="U103" s="172"/>
      <c r="V103" s="172"/>
      <c r="W103" s="172"/>
      <c r="X103" s="172"/>
      <c r="Y103" s="172"/>
      <c r="Z103" s="266"/>
      <c r="AA103" s="266"/>
      <c r="AB103" s="266"/>
      <c r="AC103" s="266"/>
      <c r="AD103" s="266"/>
      <c r="AE103" s="266"/>
      <c r="AF103" s="25">
        <f>SUM(N103:AC103)-O103</f>
        <v>10514.16</v>
      </c>
      <c r="AG103" s="24">
        <v>0</v>
      </c>
      <c r="AH103" s="24">
        <v>0</v>
      </c>
      <c r="AI103" s="24">
        <v>0</v>
      </c>
    </row>
    <row r="104" spans="1:35" s="5" customFormat="1" ht="45.75" customHeight="1" x14ac:dyDescent="0.25">
      <c r="A104" s="160"/>
      <c r="B104" s="160" t="s">
        <v>279</v>
      </c>
      <c r="C104" s="240" t="s">
        <v>46</v>
      </c>
      <c r="D104" s="189">
        <v>80810</v>
      </c>
      <c r="E104" s="189" t="s">
        <v>49</v>
      </c>
      <c r="F104" s="226" t="s">
        <v>357</v>
      </c>
      <c r="G104" s="189" t="s">
        <v>67</v>
      </c>
      <c r="H104" s="189" t="s">
        <v>38</v>
      </c>
      <c r="I104" s="189">
        <v>1</v>
      </c>
      <c r="J104" s="30">
        <v>45656</v>
      </c>
      <c r="K104" s="12">
        <v>0</v>
      </c>
      <c r="L104" s="12">
        <v>0</v>
      </c>
      <c r="M104" s="174"/>
      <c r="N104" s="172">
        <v>2342.4</v>
      </c>
      <c r="O104" s="24">
        <v>0</v>
      </c>
      <c r="P104" s="215"/>
      <c r="Q104" s="172"/>
      <c r="R104" s="172"/>
      <c r="S104" s="172"/>
      <c r="T104" s="172"/>
      <c r="U104" s="172"/>
      <c r="V104" s="172"/>
      <c r="W104" s="172"/>
      <c r="X104" s="172"/>
      <c r="Y104" s="172"/>
      <c r="Z104" s="266"/>
      <c r="AA104" s="266"/>
      <c r="AB104" s="266"/>
      <c r="AC104" s="266"/>
      <c r="AD104" s="266"/>
      <c r="AE104" s="266"/>
      <c r="AF104" s="25">
        <f>SUM(N104:AC104)-O104</f>
        <v>2342.4</v>
      </c>
      <c r="AG104" s="24">
        <v>0</v>
      </c>
      <c r="AH104" s="24">
        <v>0</v>
      </c>
      <c r="AI104" s="24">
        <v>0</v>
      </c>
    </row>
    <row r="105" spans="1:35" ht="30.75" customHeight="1" x14ac:dyDescent="0.25">
      <c r="A105" s="162"/>
      <c r="C105" s="92" t="s">
        <v>46</v>
      </c>
      <c r="D105" s="93"/>
      <c r="E105" s="84" t="s">
        <v>33</v>
      </c>
      <c r="F105" s="85" t="s">
        <v>468</v>
      </c>
      <c r="G105" s="84" t="s">
        <v>33</v>
      </c>
      <c r="H105" s="84" t="s">
        <v>33</v>
      </c>
      <c r="I105" s="84" t="s">
        <v>33</v>
      </c>
      <c r="J105" s="94" t="s">
        <v>33</v>
      </c>
      <c r="K105" s="84" t="s">
        <v>33</v>
      </c>
      <c r="L105" s="84" t="s">
        <v>33</v>
      </c>
      <c r="M105" s="181"/>
      <c r="N105" s="87">
        <f t="shared" ref="N105:AI105" si="103">SUM(N106:N109)</f>
        <v>6697.58</v>
      </c>
      <c r="O105" s="87">
        <f t="shared" si="103"/>
        <v>0</v>
      </c>
      <c r="P105" s="120">
        <f t="shared" si="103"/>
        <v>0</v>
      </c>
      <c r="Q105" s="87">
        <f t="shared" si="103"/>
        <v>0</v>
      </c>
      <c r="R105" s="87">
        <f>SUM(R106:R110)</f>
        <v>0</v>
      </c>
      <c r="S105" s="87"/>
      <c r="T105" s="87">
        <f t="shared" ref="T105:X105" si="104">SUM(T106:T109)</f>
        <v>0</v>
      </c>
      <c r="U105" s="87">
        <f t="shared" si="104"/>
        <v>0</v>
      </c>
      <c r="V105" s="87">
        <f t="shared" ref="V105" si="105">SUM(V106:V109)</f>
        <v>0</v>
      </c>
      <c r="W105" s="87">
        <f t="shared" ref="W105" si="106">SUM(W106:W109)</f>
        <v>0</v>
      </c>
      <c r="X105" s="87">
        <f t="shared" si="104"/>
        <v>0</v>
      </c>
      <c r="Y105" s="87">
        <f t="shared" ref="Y105" si="107">SUM(Y106:Y109)</f>
        <v>0</v>
      </c>
      <c r="Z105" s="257">
        <f t="shared" ref="Z105" si="108">SUM(Z106:Z109)</f>
        <v>0</v>
      </c>
      <c r="AA105" s="257"/>
      <c r="AB105" s="257">
        <f>SUM(AB106:AB109)</f>
        <v>3275.2</v>
      </c>
      <c r="AC105" s="257">
        <f t="shared" ref="AC105" si="109">SUM(AC106:AC109)</f>
        <v>-238.02</v>
      </c>
      <c r="AD105" s="257"/>
      <c r="AE105" s="257"/>
      <c r="AF105" s="87">
        <f>SUM(AF106:AF110)</f>
        <v>9734.7599999999984</v>
      </c>
      <c r="AG105" s="87">
        <f t="shared" si="103"/>
        <v>0</v>
      </c>
      <c r="AH105" s="87">
        <f t="shared" si="103"/>
        <v>5209.9799999999996</v>
      </c>
      <c r="AI105" s="87">
        <f t="shared" si="103"/>
        <v>5209.9799999999996</v>
      </c>
    </row>
    <row r="106" spans="1:35" ht="42" customHeight="1" x14ac:dyDescent="0.25">
      <c r="B106" s="160" t="s">
        <v>284</v>
      </c>
      <c r="C106" s="14" t="s">
        <v>46</v>
      </c>
      <c r="D106" s="12">
        <v>80810</v>
      </c>
      <c r="E106" s="12" t="s">
        <v>82</v>
      </c>
      <c r="F106" s="3" t="s">
        <v>122</v>
      </c>
      <c r="G106" s="12" t="s">
        <v>102</v>
      </c>
      <c r="H106" s="12" t="s">
        <v>69</v>
      </c>
      <c r="I106" s="12">
        <v>111</v>
      </c>
      <c r="J106" s="30">
        <v>45656</v>
      </c>
      <c r="K106" s="12">
        <f t="shared" ref="K106:K107" si="110">I106</f>
        <v>111</v>
      </c>
      <c r="L106" s="12">
        <f t="shared" ref="L106:L107" si="111">K106</f>
        <v>111</v>
      </c>
      <c r="M106" s="174"/>
      <c r="N106" s="24">
        <v>2907.23</v>
      </c>
      <c r="O106" s="24">
        <v>0</v>
      </c>
      <c r="P106" s="31"/>
      <c r="Q106" s="24"/>
      <c r="R106" s="24"/>
      <c r="S106" s="24"/>
      <c r="T106" s="24"/>
      <c r="U106" s="24"/>
      <c r="V106" s="24"/>
      <c r="W106" s="24"/>
      <c r="X106" s="24"/>
      <c r="Y106" s="24"/>
      <c r="Z106" s="258"/>
      <c r="AA106" s="258"/>
      <c r="AB106" s="258"/>
      <c r="AC106" s="258"/>
      <c r="AD106" s="258"/>
      <c r="AE106" s="258"/>
      <c r="AF106" s="25">
        <f>SUM(N106:AC106)-O106</f>
        <v>2907.23</v>
      </c>
      <c r="AG106" s="24">
        <v>0</v>
      </c>
      <c r="AH106" s="24">
        <f>N106</f>
        <v>2907.23</v>
      </c>
      <c r="AI106" s="24">
        <f t="shared" ref="AI106" si="112">AH106</f>
        <v>2907.23</v>
      </c>
    </row>
    <row r="107" spans="1:35" ht="30" x14ac:dyDescent="0.25">
      <c r="B107" s="160" t="s">
        <v>285</v>
      </c>
      <c r="C107" s="14" t="s">
        <v>46</v>
      </c>
      <c r="D107" s="12">
        <v>80810</v>
      </c>
      <c r="E107" s="12" t="s">
        <v>107</v>
      </c>
      <c r="F107" s="3" t="s">
        <v>50</v>
      </c>
      <c r="G107" s="12" t="s">
        <v>103</v>
      </c>
      <c r="H107" s="12" t="s">
        <v>71</v>
      </c>
      <c r="I107" s="12">
        <v>1000</v>
      </c>
      <c r="J107" s="30">
        <v>45656</v>
      </c>
      <c r="K107" s="12">
        <f t="shared" si="110"/>
        <v>1000</v>
      </c>
      <c r="L107" s="12">
        <f t="shared" si="111"/>
        <v>1000</v>
      </c>
      <c r="M107" s="174"/>
      <c r="N107" s="24">
        <v>1000</v>
      </c>
      <c r="O107" s="24">
        <v>0</v>
      </c>
      <c r="P107" s="31"/>
      <c r="Q107" s="24"/>
      <c r="R107" s="24"/>
      <c r="S107" s="24"/>
      <c r="T107" s="24"/>
      <c r="U107" s="24"/>
      <c r="V107" s="24"/>
      <c r="W107" s="24"/>
      <c r="X107" s="24"/>
      <c r="Y107" s="24"/>
      <c r="Z107" s="258"/>
      <c r="AA107" s="258"/>
      <c r="AB107" s="258"/>
      <c r="AC107" s="258"/>
      <c r="AD107" s="258"/>
      <c r="AE107" s="258"/>
      <c r="AF107" s="25">
        <f>SUM(N107:AC107)-O107</f>
        <v>1000</v>
      </c>
      <c r="AG107" s="24">
        <v>0</v>
      </c>
      <c r="AH107" s="24">
        <v>1000</v>
      </c>
      <c r="AI107" s="24">
        <v>1000</v>
      </c>
    </row>
    <row r="108" spans="1:35" s="5" customFormat="1" ht="45" x14ac:dyDescent="0.25">
      <c r="A108" s="160"/>
      <c r="B108" s="160" t="s">
        <v>286</v>
      </c>
      <c r="C108" s="14" t="s">
        <v>46</v>
      </c>
      <c r="D108" s="12">
        <v>80810</v>
      </c>
      <c r="E108" s="12" t="s">
        <v>107</v>
      </c>
      <c r="F108" s="3" t="s">
        <v>47</v>
      </c>
      <c r="G108" s="12" t="s">
        <v>67</v>
      </c>
      <c r="H108" s="12" t="s">
        <v>69</v>
      </c>
      <c r="I108" s="12">
        <v>50</v>
      </c>
      <c r="J108" s="30">
        <v>45656</v>
      </c>
      <c r="K108" s="12">
        <v>50</v>
      </c>
      <c r="L108" s="12">
        <v>50</v>
      </c>
      <c r="M108" s="174"/>
      <c r="N108" s="24">
        <v>1302.75</v>
      </c>
      <c r="O108" s="24">
        <v>0</v>
      </c>
      <c r="P108" s="31"/>
      <c r="Q108" s="24"/>
      <c r="R108" s="24"/>
      <c r="S108" s="24"/>
      <c r="T108" s="24"/>
      <c r="U108" s="24"/>
      <c r="V108" s="24"/>
      <c r="W108" s="24"/>
      <c r="X108" s="24"/>
      <c r="Y108" s="24"/>
      <c r="Z108" s="258"/>
      <c r="AA108" s="258"/>
      <c r="AB108" s="258"/>
      <c r="AC108" s="258"/>
      <c r="AD108" s="258"/>
      <c r="AE108" s="258"/>
      <c r="AF108" s="25">
        <f>SUM(N108:AC108)-O108</f>
        <v>1302.75</v>
      </c>
      <c r="AG108" s="24">
        <v>0</v>
      </c>
      <c r="AH108" s="24">
        <v>1302.75</v>
      </c>
      <c r="AI108" s="24">
        <v>1302.75</v>
      </c>
    </row>
    <row r="109" spans="1:35" s="5" customFormat="1" ht="24" customHeight="1" x14ac:dyDescent="0.25">
      <c r="A109" s="160"/>
      <c r="B109" s="160" t="s">
        <v>287</v>
      </c>
      <c r="C109" s="14" t="s">
        <v>46</v>
      </c>
      <c r="D109" s="12">
        <v>80810</v>
      </c>
      <c r="E109" s="12" t="s">
        <v>107</v>
      </c>
      <c r="F109" s="3" t="s">
        <v>48</v>
      </c>
      <c r="G109" s="12" t="s">
        <v>67</v>
      </c>
      <c r="H109" s="12" t="s">
        <v>69</v>
      </c>
      <c r="I109" s="12">
        <v>12</v>
      </c>
      <c r="J109" s="30">
        <v>45656</v>
      </c>
      <c r="K109" s="12">
        <v>0</v>
      </c>
      <c r="L109" s="12">
        <v>0</v>
      </c>
      <c r="M109" s="174"/>
      <c r="N109" s="24">
        <v>1487.6</v>
      </c>
      <c r="O109" s="24">
        <v>0</v>
      </c>
      <c r="P109" s="31"/>
      <c r="Q109" s="24"/>
      <c r="R109" s="24">
        <v>-245.83</v>
      </c>
      <c r="S109" s="24"/>
      <c r="T109" s="24"/>
      <c r="U109" s="24"/>
      <c r="V109" s="24"/>
      <c r="W109" s="24"/>
      <c r="X109" s="24"/>
      <c r="Y109" s="24"/>
      <c r="Z109" s="258"/>
      <c r="AA109" s="258"/>
      <c r="AB109" s="274">
        <v>3275.2</v>
      </c>
      <c r="AC109" s="258">
        <v>-238.02</v>
      </c>
      <c r="AD109" s="258"/>
      <c r="AE109" s="258"/>
      <c r="AF109" s="25">
        <f>SUM(N109:AC109)-O109</f>
        <v>4278.9499999999989</v>
      </c>
      <c r="AG109" s="24">
        <v>0</v>
      </c>
      <c r="AH109" s="24">
        <v>0</v>
      </c>
      <c r="AI109" s="24">
        <v>0</v>
      </c>
    </row>
    <row r="110" spans="1:35" s="5" customFormat="1" ht="51" customHeight="1" x14ac:dyDescent="0.25">
      <c r="A110" s="160"/>
      <c r="B110" s="200" t="s">
        <v>358</v>
      </c>
      <c r="C110" s="228" t="s">
        <v>46</v>
      </c>
      <c r="D110" s="21">
        <v>80810</v>
      </c>
      <c r="E110" s="21" t="s">
        <v>107</v>
      </c>
      <c r="F110" s="22" t="s">
        <v>359</v>
      </c>
      <c r="G110" s="21" t="s">
        <v>67</v>
      </c>
      <c r="H110" s="21" t="s">
        <v>69</v>
      </c>
      <c r="I110" s="21">
        <v>6</v>
      </c>
      <c r="J110" s="233">
        <v>45657</v>
      </c>
      <c r="K110" s="21">
        <v>0</v>
      </c>
      <c r="L110" s="21">
        <v>0</v>
      </c>
      <c r="M110" s="186"/>
      <c r="N110" s="26"/>
      <c r="O110" s="26"/>
      <c r="P110" s="217"/>
      <c r="Q110" s="26"/>
      <c r="R110" s="26">
        <v>245.83</v>
      </c>
      <c r="S110" s="26"/>
      <c r="T110" s="26"/>
      <c r="U110" s="26"/>
      <c r="V110" s="26"/>
      <c r="W110" s="26"/>
      <c r="X110" s="26"/>
      <c r="Y110" s="26"/>
      <c r="Z110" s="263"/>
      <c r="AA110" s="263"/>
      <c r="AB110" s="263"/>
      <c r="AC110" s="263"/>
      <c r="AD110" s="263"/>
      <c r="AE110" s="263"/>
      <c r="AF110" s="26">
        <f>SUM(N110:AC110)-O110</f>
        <v>245.83</v>
      </c>
      <c r="AG110" s="26">
        <v>0</v>
      </c>
      <c r="AH110" s="26">
        <v>0</v>
      </c>
      <c r="AI110" s="26">
        <v>0</v>
      </c>
    </row>
    <row r="111" spans="1:35" ht="30.75" customHeight="1" x14ac:dyDescent="0.25">
      <c r="A111" s="162"/>
      <c r="C111" s="92" t="s">
        <v>46</v>
      </c>
      <c r="D111" s="93"/>
      <c r="E111" s="84" t="s">
        <v>33</v>
      </c>
      <c r="F111" s="85" t="s">
        <v>195</v>
      </c>
      <c r="G111" s="84" t="s">
        <v>33</v>
      </c>
      <c r="H111" s="84" t="s">
        <v>33</v>
      </c>
      <c r="I111" s="84" t="s">
        <v>33</v>
      </c>
      <c r="J111" s="94" t="s">
        <v>33</v>
      </c>
      <c r="K111" s="84" t="s">
        <v>33</v>
      </c>
      <c r="L111" s="84" t="s">
        <v>33</v>
      </c>
      <c r="M111" s="181"/>
      <c r="N111" s="87">
        <f>SUM(N112:N118)</f>
        <v>43685.77</v>
      </c>
      <c r="O111" s="87">
        <f t="shared" ref="O111:AI111" si="113">SUM(O112:O118)</f>
        <v>0</v>
      </c>
      <c r="P111" s="120">
        <f>SUM(P112:P118)</f>
        <v>0</v>
      </c>
      <c r="Q111" s="87">
        <f>SUM(Q112:Q118)</f>
        <v>0</v>
      </c>
      <c r="R111" s="87">
        <f>SUM(R112:R118)</f>
        <v>0</v>
      </c>
      <c r="S111" s="87">
        <f>SUM(S112:S118)</f>
        <v>0</v>
      </c>
      <c r="T111" s="87">
        <f t="shared" ref="T111:AF111" si="114">SUM(T112:T118)</f>
        <v>0</v>
      </c>
      <c r="U111" s="87">
        <f t="shared" si="114"/>
        <v>0</v>
      </c>
      <c r="V111" s="87">
        <f t="shared" si="114"/>
        <v>0</v>
      </c>
      <c r="W111" s="87">
        <f t="shared" si="114"/>
        <v>3339.06</v>
      </c>
      <c r="X111" s="87">
        <f t="shared" si="114"/>
        <v>-2812.56</v>
      </c>
      <c r="Y111" s="87">
        <f t="shared" si="114"/>
        <v>0</v>
      </c>
      <c r="Z111" s="257">
        <f t="shared" si="114"/>
        <v>0</v>
      </c>
      <c r="AA111" s="257"/>
      <c r="AB111" s="257">
        <f t="shared" ref="AB111:AC111" si="115">SUM(AB112:AB118)</f>
        <v>0</v>
      </c>
      <c r="AC111" s="257">
        <f t="shared" si="115"/>
        <v>0</v>
      </c>
      <c r="AD111" s="257"/>
      <c r="AE111" s="257"/>
      <c r="AF111" s="87">
        <f t="shared" si="114"/>
        <v>44212.270000000004</v>
      </c>
      <c r="AG111" s="87">
        <f t="shared" ref="AG111" si="116">SUM(AG112:AG118)</f>
        <v>3339.06</v>
      </c>
      <c r="AH111" s="87">
        <f t="shared" si="113"/>
        <v>34599.89</v>
      </c>
      <c r="AI111" s="87">
        <f t="shared" si="113"/>
        <v>34599.89</v>
      </c>
    </row>
    <row r="112" spans="1:35" ht="30" x14ac:dyDescent="0.25">
      <c r="B112" s="160" t="s">
        <v>288</v>
      </c>
      <c r="C112" s="14" t="s">
        <v>46</v>
      </c>
      <c r="D112" s="12">
        <v>80810</v>
      </c>
      <c r="E112" s="12" t="s">
        <v>82</v>
      </c>
      <c r="F112" s="3" t="s">
        <v>141</v>
      </c>
      <c r="G112" s="12" t="s">
        <v>146</v>
      </c>
      <c r="H112" s="12" t="s">
        <v>40</v>
      </c>
      <c r="I112" s="33">
        <v>392554</v>
      </c>
      <c r="J112" s="30">
        <v>45656</v>
      </c>
      <c r="K112" s="33">
        <f>I112</f>
        <v>392554</v>
      </c>
      <c r="L112" s="33">
        <f t="shared" ref="L112:L113" si="117">K112</f>
        <v>392554</v>
      </c>
      <c r="M112" s="179"/>
      <c r="N112" s="24">
        <v>16455.27</v>
      </c>
      <c r="O112" s="24">
        <v>0</v>
      </c>
      <c r="P112" s="31"/>
      <c r="Q112" s="24"/>
      <c r="R112" s="24"/>
      <c r="S112" s="24"/>
      <c r="T112" s="24"/>
      <c r="U112" s="24"/>
      <c r="V112" s="24"/>
      <c r="W112" s="24"/>
      <c r="X112" s="24"/>
      <c r="Y112" s="24"/>
      <c r="Z112" s="258"/>
      <c r="AA112" s="258"/>
      <c r="AB112" s="258"/>
      <c r="AC112" s="258"/>
      <c r="AD112" s="258"/>
      <c r="AE112" s="258"/>
      <c r="AF112" s="25">
        <f t="shared" ref="AF112:AF118" si="118">SUM(N112:AC112)-O112</f>
        <v>16455.27</v>
      </c>
      <c r="AG112" s="24">
        <v>0</v>
      </c>
      <c r="AH112" s="24">
        <f>N112</f>
        <v>16455.27</v>
      </c>
      <c r="AI112" s="24">
        <f t="shared" ref="AI112:AI115" si="119">AH112</f>
        <v>16455.27</v>
      </c>
    </row>
    <row r="113" spans="1:35" ht="30" x14ac:dyDescent="0.25">
      <c r="B113" s="160" t="s">
        <v>289</v>
      </c>
      <c r="C113" s="14" t="s">
        <v>46</v>
      </c>
      <c r="D113" s="12">
        <v>80810</v>
      </c>
      <c r="E113" s="12" t="s">
        <v>82</v>
      </c>
      <c r="F113" s="3" t="s">
        <v>84</v>
      </c>
      <c r="G113" s="12" t="s">
        <v>146</v>
      </c>
      <c r="H113" s="12" t="s">
        <v>40</v>
      </c>
      <c r="I113" s="33">
        <v>249672</v>
      </c>
      <c r="J113" s="30">
        <v>45656</v>
      </c>
      <c r="K113" s="33">
        <f>I113</f>
        <v>249672</v>
      </c>
      <c r="L113" s="33">
        <f t="shared" si="117"/>
        <v>249672</v>
      </c>
      <c r="M113" s="179"/>
      <c r="N113" s="24">
        <v>12596.33</v>
      </c>
      <c r="O113" s="24">
        <v>0</v>
      </c>
      <c r="P113" s="31"/>
      <c r="Q113" s="24"/>
      <c r="R113" s="24"/>
      <c r="S113" s="24"/>
      <c r="T113" s="24"/>
      <c r="U113" s="24"/>
      <c r="V113" s="24"/>
      <c r="W113" s="24"/>
      <c r="X113" s="24"/>
      <c r="Y113" s="24"/>
      <c r="Z113" s="258"/>
      <c r="AA113" s="258"/>
      <c r="AB113" s="258"/>
      <c r="AC113" s="258"/>
      <c r="AD113" s="258"/>
      <c r="AE113" s="258"/>
      <c r="AF113" s="25">
        <f t="shared" si="118"/>
        <v>12596.33</v>
      </c>
      <c r="AG113" s="24">
        <v>0</v>
      </c>
      <c r="AH113" s="24">
        <f>N113</f>
        <v>12596.33</v>
      </c>
      <c r="AI113" s="24">
        <f t="shared" si="119"/>
        <v>12596.33</v>
      </c>
    </row>
    <row r="114" spans="1:35" ht="30" x14ac:dyDescent="0.25">
      <c r="B114" s="160" t="s">
        <v>290</v>
      </c>
      <c r="C114" s="14" t="s">
        <v>46</v>
      </c>
      <c r="D114" s="12">
        <v>80810</v>
      </c>
      <c r="E114" s="12" t="s">
        <v>82</v>
      </c>
      <c r="F114" s="3" t="s">
        <v>131</v>
      </c>
      <c r="G114" s="12" t="s">
        <v>79</v>
      </c>
      <c r="H114" s="12" t="s">
        <v>69</v>
      </c>
      <c r="I114" s="12">
        <v>364</v>
      </c>
      <c r="J114" s="30">
        <v>45656</v>
      </c>
      <c r="K114" s="12">
        <f>I114</f>
        <v>364</v>
      </c>
      <c r="L114" s="12">
        <f>K114</f>
        <v>364</v>
      </c>
      <c r="M114" s="174"/>
      <c r="N114" s="24">
        <v>4883.99</v>
      </c>
      <c r="O114" s="24">
        <v>0</v>
      </c>
      <c r="P114" s="31"/>
      <c r="Q114" s="24"/>
      <c r="R114" s="24"/>
      <c r="S114" s="24"/>
      <c r="T114" s="24"/>
      <c r="U114" s="24"/>
      <c r="V114" s="24"/>
      <c r="W114" s="24"/>
      <c r="X114" s="24"/>
      <c r="Y114" s="24"/>
      <c r="Z114" s="258"/>
      <c r="AA114" s="258"/>
      <c r="AB114" s="258"/>
      <c r="AC114" s="258"/>
      <c r="AD114" s="258"/>
      <c r="AE114" s="258"/>
      <c r="AF114" s="25">
        <f t="shared" si="118"/>
        <v>4883.99</v>
      </c>
      <c r="AG114" s="24">
        <v>0</v>
      </c>
      <c r="AH114" s="24">
        <f>N114</f>
        <v>4883.99</v>
      </c>
      <c r="AI114" s="24">
        <f t="shared" si="119"/>
        <v>4883.99</v>
      </c>
    </row>
    <row r="115" spans="1:35" ht="60" x14ac:dyDescent="0.25">
      <c r="B115" s="160" t="s">
        <v>291</v>
      </c>
      <c r="C115" s="14" t="s">
        <v>46</v>
      </c>
      <c r="D115" s="12">
        <v>80810</v>
      </c>
      <c r="E115" s="12" t="s">
        <v>82</v>
      </c>
      <c r="F115" s="3" t="s">
        <v>147</v>
      </c>
      <c r="G115" s="12" t="s">
        <v>79</v>
      </c>
      <c r="H115" s="12" t="s">
        <v>69</v>
      </c>
      <c r="I115" s="12">
        <v>1000</v>
      </c>
      <c r="J115" s="30">
        <v>45656</v>
      </c>
      <c r="K115" s="12">
        <f>I115</f>
        <v>1000</v>
      </c>
      <c r="L115" s="12">
        <f t="shared" ref="L115" si="120">K115</f>
        <v>1000</v>
      </c>
      <c r="M115" s="174"/>
      <c r="N115" s="24">
        <v>664.3</v>
      </c>
      <c r="O115" s="24">
        <v>0</v>
      </c>
      <c r="P115" s="31"/>
      <c r="Q115" s="24"/>
      <c r="R115" s="24"/>
      <c r="S115" s="24"/>
      <c r="T115" s="24"/>
      <c r="U115" s="24"/>
      <c r="V115" s="24"/>
      <c r="W115" s="24"/>
      <c r="X115" s="24"/>
      <c r="Y115" s="24"/>
      <c r="Z115" s="258"/>
      <c r="AA115" s="258"/>
      <c r="AB115" s="258"/>
      <c r="AC115" s="258"/>
      <c r="AD115" s="258"/>
      <c r="AE115" s="258"/>
      <c r="AF115" s="25">
        <f t="shared" si="118"/>
        <v>664.3</v>
      </c>
      <c r="AG115" s="24">
        <v>0</v>
      </c>
      <c r="AH115" s="24">
        <f>N115</f>
        <v>664.3</v>
      </c>
      <c r="AI115" s="24">
        <f t="shared" si="119"/>
        <v>664.3</v>
      </c>
    </row>
    <row r="116" spans="1:35" ht="37.5" customHeight="1" x14ac:dyDescent="0.25">
      <c r="B116" s="160" t="s">
        <v>292</v>
      </c>
      <c r="C116" s="14" t="s">
        <v>46</v>
      </c>
      <c r="D116" s="13">
        <v>80810</v>
      </c>
      <c r="E116" s="12" t="s">
        <v>107</v>
      </c>
      <c r="F116" s="3" t="s">
        <v>247</v>
      </c>
      <c r="G116" s="12" t="s">
        <v>79</v>
      </c>
      <c r="H116" s="12" t="s">
        <v>69</v>
      </c>
      <c r="I116" s="12">
        <v>1</v>
      </c>
      <c r="J116" s="30">
        <v>45656</v>
      </c>
      <c r="K116" s="12">
        <v>0</v>
      </c>
      <c r="L116" s="12">
        <v>0</v>
      </c>
      <c r="M116" s="174"/>
      <c r="N116" s="24">
        <v>166.63</v>
      </c>
      <c r="O116" s="24">
        <v>0</v>
      </c>
      <c r="P116" s="31"/>
      <c r="Q116" s="24"/>
      <c r="R116" s="24"/>
      <c r="S116" s="24"/>
      <c r="T116" s="24"/>
      <c r="U116" s="24"/>
      <c r="V116" s="24"/>
      <c r="W116" s="24"/>
      <c r="X116" s="24"/>
      <c r="Y116" s="24"/>
      <c r="Z116" s="258"/>
      <c r="AA116" s="258"/>
      <c r="AB116" s="258"/>
      <c r="AC116" s="258"/>
      <c r="AD116" s="258"/>
      <c r="AE116" s="258"/>
      <c r="AF116" s="25">
        <f t="shared" si="118"/>
        <v>166.63</v>
      </c>
      <c r="AG116" s="24">
        <v>0</v>
      </c>
      <c r="AH116" s="24">
        <v>0</v>
      </c>
      <c r="AI116" s="24">
        <v>0</v>
      </c>
    </row>
    <row r="117" spans="1:35" ht="33" customHeight="1" x14ac:dyDescent="0.25">
      <c r="B117" s="160" t="s">
        <v>293</v>
      </c>
      <c r="C117" s="14" t="s">
        <v>46</v>
      </c>
      <c r="D117" s="248" t="s">
        <v>425</v>
      </c>
      <c r="E117" s="12" t="s">
        <v>107</v>
      </c>
      <c r="F117" s="3" t="s">
        <v>111</v>
      </c>
      <c r="G117" s="12" t="s">
        <v>79</v>
      </c>
      <c r="H117" s="12" t="s">
        <v>69</v>
      </c>
      <c r="I117" s="12">
        <v>1</v>
      </c>
      <c r="J117" s="30">
        <v>45656</v>
      </c>
      <c r="K117" s="12">
        <v>0</v>
      </c>
      <c r="L117" s="12">
        <v>0</v>
      </c>
      <c r="M117" s="174"/>
      <c r="N117" s="24">
        <v>4812.5600000000004</v>
      </c>
      <c r="O117" s="24">
        <v>0</v>
      </c>
      <c r="P117" s="31"/>
      <c r="Q117" s="24"/>
      <c r="R117" s="24"/>
      <c r="S117" s="24"/>
      <c r="T117" s="24"/>
      <c r="U117" s="24"/>
      <c r="V117" s="24"/>
      <c r="W117" s="24">
        <v>3339.06</v>
      </c>
      <c r="X117" s="24">
        <v>-2812.56</v>
      </c>
      <c r="Y117" s="24"/>
      <c r="Z117" s="258"/>
      <c r="AA117" s="258"/>
      <c r="AB117" s="258"/>
      <c r="AC117" s="258"/>
      <c r="AD117" s="258"/>
      <c r="AE117" s="258"/>
      <c r="AF117" s="25">
        <f t="shared" si="118"/>
        <v>5339.0600000000013</v>
      </c>
      <c r="AG117" s="24">
        <f>W117</f>
        <v>3339.06</v>
      </c>
      <c r="AH117" s="24">
        <v>0</v>
      </c>
      <c r="AI117" s="24">
        <v>0</v>
      </c>
    </row>
    <row r="118" spans="1:35" ht="45.75" customHeight="1" x14ac:dyDescent="0.25">
      <c r="B118" s="160" t="s">
        <v>294</v>
      </c>
      <c r="C118" s="14" t="s">
        <v>46</v>
      </c>
      <c r="D118" s="13">
        <v>80810</v>
      </c>
      <c r="E118" s="12" t="s">
        <v>107</v>
      </c>
      <c r="F118" s="3" t="s">
        <v>120</v>
      </c>
      <c r="G118" s="12" t="s">
        <v>79</v>
      </c>
      <c r="H118" s="12" t="s">
        <v>69</v>
      </c>
      <c r="I118" s="12">
        <v>1</v>
      </c>
      <c r="J118" s="30">
        <v>45656</v>
      </c>
      <c r="K118" s="12">
        <v>0</v>
      </c>
      <c r="L118" s="12">
        <v>0</v>
      </c>
      <c r="M118" s="174"/>
      <c r="N118" s="24">
        <v>4106.6899999999996</v>
      </c>
      <c r="O118" s="24">
        <v>0</v>
      </c>
      <c r="P118" s="31"/>
      <c r="Q118" s="24"/>
      <c r="R118" s="24"/>
      <c r="S118" s="24"/>
      <c r="T118" s="24"/>
      <c r="U118" s="24"/>
      <c r="V118" s="24"/>
      <c r="W118" s="24"/>
      <c r="X118" s="24"/>
      <c r="Y118" s="24"/>
      <c r="Z118" s="258"/>
      <c r="AA118" s="258"/>
      <c r="AB118" s="258"/>
      <c r="AC118" s="258"/>
      <c r="AD118" s="258"/>
      <c r="AE118" s="258"/>
      <c r="AF118" s="25">
        <f t="shared" si="118"/>
        <v>4106.6899999999996</v>
      </c>
      <c r="AG118" s="24">
        <v>0</v>
      </c>
      <c r="AH118" s="24">
        <v>0</v>
      </c>
      <c r="AI118" s="24">
        <v>0</v>
      </c>
    </row>
    <row r="119" spans="1:35" ht="45.75" customHeight="1" x14ac:dyDescent="0.25">
      <c r="C119" s="143" t="s">
        <v>46</v>
      </c>
      <c r="D119" s="144"/>
      <c r="E119" s="145" t="s">
        <v>33</v>
      </c>
      <c r="F119" s="146" t="s">
        <v>242</v>
      </c>
      <c r="G119" s="145" t="s">
        <v>33</v>
      </c>
      <c r="H119" s="145" t="s">
        <v>33</v>
      </c>
      <c r="I119" s="156" t="s">
        <v>33</v>
      </c>
      <c r="J119" s="156" t="s">
        <v>33</v>
      </c>
      <c r="K119" s="156" t="s">
        <v>33</v>
      </c>
      <c r="L119" s="156" t="s">
        <v>33</v>
      </c>
      <c r="M119" s="190"/>
      <c r="N119" s="147">
        <f t="shared" ref="N119:Z119" si="121">N120+N133+N135+N148+N155</f>
        <v>14812.5</v>
      </c>
      <c r="O119" s="147">
        <f t="shared" si="121"/>
        <v>0</v>
      </c>
      <c r="P119" s="147">
        <f t="shared" si="121"/>
        <v>-1164.3</v>
      </c>
      <c r="Q119" s="147">
        <f t="shared" si="121"/>
        <v>0</v>
      </c>
      <c r="R119" s="147">
        <f t="shared" si="121"/>
        <v>2778.8799999999997</v>
      </c>
      <c r="S119" s="147">
        <f t="shared" si="121"/>
        <v>-491.74</v>
      </c>
      <c r="T119" s="147">
        <f t="shared" si="121"/>
        <v>0</v>
      </c>
      <c r="U119" s="147">
        <f t="shared" si="121"/>
        <v>0</v>
      </c>
      <c r="V119" s="147">
        <f t="shared" si="121"/>
        <v>1665.15</v>
      </c>
      <c r="W119" s="147">
        <f t="shared" si="121"/>
        <v>1989.37</v>
      </c>
      <c r="X119" s="147">
        <f t="shared" si="121"/>
        <v>1894.81</v>
      </c>
      <c r="Y119" s="147">
        <f t="shared" si="121"/>
        <v>0</v>
      </c>
      <c r="Z119" s="267">
        <f t="shared" si="121"/>
        <v>-10.52</v>
      </c>
      <c r="AA119" s="267"/>
      <c r="AB119" s="267">
        <f t="shared" ref="AB119:AC119" si="122">AB120+AB133+AB135+AB148+AB155</f>
        <v>7164.03</v>
      </c>
      <c r="AC119" s="267">
        <f t="shared" si="122"/>
        <v>0</v>
      </c>
      <c r="AD119" s="267"/>
      <c r="AE119" s="267"/>
      <c r="AF119" s="147">
        <f t="shared" ref="AF119:AI119" si="123">AF120+AF133+AF135+AF148+AF155</f>
        <v>28638.18</v>
      </c>
      <c r="AG119" s="147">
        <f t="shared" si="123"/>
        <v>1989.37</v>
      </c>
      <c r="AH119" s="147">
        <f t="shared" si="123"/>
        <v>2850.5</v>
      </c>
      <c r="AI119" s="147">
        <f t="shared" si="123"/>
        <v>2850.5</v>
      </c>
    </row>
    <row r="120" spans="1:35" ht="42" customHeight="1" x14ac:dyDescent="0.25">
      <c r="A120" s="162"/>
      <c r="C120" s="92" t="s">
        <v>46</v>
      </c>
      <c r="D120" s="93"/>
      <c r="E120" s="84" t="s">
        <v>33</v>
      </c>
      <c r="F120" s="85" t="s">
        <v>196</v>
      </c>
      <c r="G120" s="84" t="s">
        <v>33</v>
      </c>
      <c r="H120" s="84" t="s">
        <v>33</v>
      </c>
      <c r="I120" s="84" t="s">
        <v>33</v>
      </c>
      <c r="J120" s="94" t="s">
        <v>33</v>
      </c>
      <c r="K120" s="84" t="s">
        <v>33</v>
      </c>
      <c r="L120" s="84" t="s">
        <v>33</v>
      </c>
      <c r="M120" s="181"/>
      <c r="N120" s="87">
        <f t="shared" ref="N120:AI120" si="124">SUM(N121:N129)</f>
        <v>11226.42</v>
      </c>
      <c r="O120" s="87">
        <f t="shared" si="124"/>
        <v>0</v>
      </c>
      <c r="P120" s="120">
        <f t="shared" si="124"/>
        <v>-2431.6</v>
      </c>
      <c r="Q120" s="87">
        <f t="shared" si="124"/>
        <v>0</v>
      </c>
      <c r="R120" s="87">
        <f t="shared" si="124"/>
        <v>0</v>
      </c>
      <c r="S120" s="87">
        <f t="shared" si="124"/>
        <v>0</v>
      </c>
      <c r="T120" s="87">
        <f t="shared" si="124"/>
        <v>0</v>
      </c>
      <c r="U120" s="87">
        <f t="shared" si="124"/>
        <v>0</v>
      </c>
      <c r="V120" s="87">
        <f t="shared" si="124"/>
        <v>1665.15</v>
      </c>
      <c r="W120" s="87">
        <f t="shared" si="124"/>
        <v>1989.37</v>
      </c>
      <c r="X120" s="87">
        <f t="shared" si="124"/>
        <v>754.81</v>
      </c>
      <c r="Y120" s="87">
        <f t="shared" si="124"/>
        <v>0</v>
      </c>
      <c r="Z120" s="257">
        <f t="shared" si="124"/>
        <v>-10.52</v>
      </c>
      <c r="AA120" s="257"/>
      <c r="AB120" s="257">
        <f>SUM(AB121:AB132)</f>
        <v>7000.23</v>
      </c>
      <c r="AC120" s="257">
        <f t="shared" ref="AC120" si="125">SUM(AC121:AC129)</f>
        <v>0</v>
      </c>
      <c r="AD120" s="257"/>
      <c r="AE120" s="257"/>
      <c r="AF120" s="87">
        <f>SUM(AF121:AF132)</f>
        <v>20193.86</v>
      </c>
      <c r="AG120" s="87">
        <f t="shared" si="124"/>
        <v>1989.37</v>
      </c>
      <c r="AH120" s="87">
        <f t="shared" si="124"/>
        <v>1266.3499999999999</v>
      </c>
      <c r="AI120" s="87">
        <f t="shared" si="124"/>
        <v>1266.3499999999999</v>
      </c>
    </row>
    <row r="121" spans="1:35" ht="33" customHeight="1" x14ac:dyDescent="0.25">
      <c r="B121" s="160" t="s">
        <v>283</v>
      </c>
      <c r="C121" s="14" t="s">
        <v>46</v>
      </c>
      <c r="D121" s="13">
        <v>80820</v>
      </c>
      <c r="E121" s="12" t="s">
        <v>87</v>
      </c>
      <c r="F121" s="3" t="s">
        <v>135</v>
      </c>
      <c r="G121" s="12" t="s">
        <v>79</v>
      </c>
      <c r="H121" s="12" t="s">
        <v>69</v>
      </c>
      <c r="I121" s="12">
        <v>32</v>
      </c>
      <c r="J121" s="30">
        <v>45656</v>
      </c>
      <c r="K121" s="12">
        <v>0</v>
      </c>
      <c r="L121" s="12">
        <v>0</v>
      </c>
      <c r="M121" s="174"/>
      <c r="N121" s="24">
        <v>660</v>
      </c>
      <c r="O121" s="24">
        <v>0</v>
      </c>
      <c r="P121" s="31"/>
      <c r="Q121" s="24"/>
      <c r="R121" s="24"/>
      <c r="S121" s="24"/>
      <c r="T121" s="24"/>
      <c r="U121" s="24"/>
      <c r="V121" s="24"/>
      <c r="W121" s="24"/>
      <c r="X121" s="24"/>
      <c r="Y121" s="24"/>
      <c r="Z121" s="258"/>
      <c r="AA121" s="258"/>
      <c r="AB121" s="258"/>
      <c r="AC121" s="258"/>
      <c r="AD121" s="258"/>
      <c r="AE121" s="258"/>
      <c r="AF121" s="25">
        <f t="shared" ref="AF121:AF132" si="126">SUM(N121:AC121)-O121</f>
        <v>660</v>
      </c>
      <c r="AG121" s="24">
        <v>0</v>
      </c>
      <c r="AH121" s="24">
        <v>0</v>
      </c>
      <c r="AI121" s="24">
        <v>0</v>
      </c>
    </row>
    <row r="122" spans="1:35" ht="37.5" customHeight="1" x14ac:dyDescent="0.25">
      <c r="B122" s="160" t="s">
        <v>295</v>
      </c>
      <c r="C122" s="14" t="s">
        <v>46</v>
      </c>
      <c r="D122" s="13">
        <v>80820</v>
      </c>
      <c r="E122" s="12" t="s">
        <v>82</v>
      </c>
      <c r="F122" s="3" t="s">
        <v>197</v>
      </c>
      <c r="G122" s="12" t="s">
        <v>79</v>
      </c>
      <c r="H122" s="12" t="s">
        <v>69</v>
      </c>
      <c r="I122" s="12">
        <v>33</v>
      </c>
      <c r="J122" s="30">
        <v>45656</v>
      </c>
      <c r="K122" s="12">
        <v>34</v>
      </c>
      <c r="L122" s="12">
        <v>34</v>
      </c>
      <c r="M122" s="174"/>
      <c r="N122" s="24">
        <v>1176.3499999999999</v>
      </c>
      <c r="O122" s="24">
        <v>0</v>
      </c>
      <c r="P122" s="31"/>
      <c r="Q122" s="24"/>
      <c r="R122" s="24"/>
      <c r="S122" s="24"/>
      <c r="T122" s="24"/>
      <c r="U122" s="24"/>
      <c r="V122" s="24"/>
      <c r="W122" s="24"/>
      <c r="X122" s="24"/>
      <c r="Y122" s="24"/>
      <c r="Z122" s="258"/>
      <c r="AA122" s="258"/>
      <c r="AB122" s="258"/>
      <c r="AC122" s="258"/>
      <c r="AD122" s="258"/>
      <c r="AE122" s="258"/>
      <c r="AF122" s="25">
        <f t="shared" si="126"/>
        <v>1176.3499999999999</v>
      </c>
      <c r="AG122" s="24">
        <v>0</v>
      </c>
      <c r="AH122" s="24">
        <f>N122</f>
        <v>1176.3499999999999</v>
      </c>
      <c r="AI122" s="24">
        <f>AH122</f>
        <v>1176.3499999999999</v>
      </c>
    </row>
    <row r="123" spans="1:35" ht="66.75" customHeight="1" x14ac:dyDescent="0.25">
      <c r="B123" s="160" t="s">
        <v>296</v>
      </c>
      <c r="C123" s="14" t="s">
        <v>46</v>
      </c>
      <c r="D123" s="248" t="s">
        <v>425</v>
      </c>
      <c r="E123" s="12" t="s">
        <v>107</v>
      </c>
      <c r="F123" s="3" t="s">
        <v>112</v>
      </c>
      <c r="G123" s="12" t="s">
        <v>79</v>
      </c>
      <c r="H123" s="12" t="s">
        <v>69</v>
      </c>
      <c r="I123" s="12">
        <v>1</v>
      </c>
      <c r="J123" s="30">
        <v>45656</v>
      </c>
      <c r="K123" s="12">
        <v>0</v>
      </c>
      <c r="L123" s="12">
        <v>0</v>
      </c>
      <c r="M123" s="174"/>
      <c r="N123" s="24">
        <v>3315.61</v>
      </c>
      <c r="O123" s="24">
        <v>0</v>
      </c>
      <c r="P123" s="31"/>
      <c r="Q123" s="24"/>
      <c r="R123" s="24"/>
      <c r="S123" s="24"/>
      <c r="T123" s="24"/>
      <c r="U123" s="113">
        <v>-1989.37</v>
      </c>
      <c r="V123" s="24"/>
      <c r="W123" s="24">
        <v>1989.37</v>
      </c>
      <c r="X123" s="24"/>
      <c r="Y123" s="24"/>
      <c r="Z123" s="258"/>
      <c r="AA123" s="258"/>
      <c r="AB123" s="258"/>
      <c r="AC123" s="258"/>
      <c r="AD123" s="258"/>
      <c r="AE123" s="258"/>
      <c r="AF123" s="25">
        <f t="shared" si="126"/>
        <v>3315.61</v>
      </c>
      <c r="AG123" s="24">
        <f>W123</f>
        <v>1989.37</v>
      </c>
      <c r="AH123" s="24">
        <v>0</v>
      </c>
      <c r="AI123" s="24">
        <v>0</v>
      </c>
    </row>
    <row r="124" spans="1:35" ht="66" customHeight="1" x14ac:dyDescent="0.25">
      <c r="B124" s="160" t="s">
        <v>297</v>
      </c>
      <c r="C124" s="14" t="s">
        <v>46</v>
      </c>
      <c r="D124" s="13">
        <v>80820</v>
      </c>
      <c r="E124" s="12" t="s">
        <v>107</v>
      </c>
      <c r="F124" s="3" t="s">
        <v>113</v>
      </c>
      <c r="G124" s="12" t="s">
        <v>79</v>
      </c>
      <c r="H124" s="12" t="s">
        <v>69</v>
      </c>
      <c r="I124" s="12">
        <v>1</v>
      </c>
      <c r="J124" s="30">
        <v>45656</v>
      </c>
      <c r="K124" s="12">
        <v>0</v>
      </c>
      <c r="L124" s="12">
        <v>0</v>
      </c>
      <c r="M124" s="174"/>
      <c r="N124" s="24">
        <v>2485.62</v>
      </c>
      <c r="O124" s="24">
        <v>0</v>
      </c>
      <c r="P124" s="31"/>
      <c r="Q124" s="24"/>
      <c r="R124" s="24"/>
      <c r="S124" s="24"/>
      <c r="T124" s="24"/>
      <c r="U124" s="24"/>
      <c r="V124" s="24"/>
      <c r="W124" s="24"/>
      <c r="X124" s="24"/>
      <c r="Y124" s="24"/>
      <c r="Z124" s="258"/>
      <c r="AA124" s="258"/>
      <c r="AB124" s="258"/>
      <c r="AC124" s="258"/>
      <c r="AD124" s="258"/>
      <c r="AE124" s="258"/>
      <c r="AF124" s="25">
        <f t="shared" si="126"/>
        <v>2485.62</v>
      </c>
      <c r="AG124" s="24">
        <v>0</v>
      </c>
      <c r="AH124" s="24">
        <v>0</v>
      </c>
      <c r="AI124" s="24">
        <v>0</v>
      </c>
    </row>
    <row r="125" spans="1:35" ht="64.5" hidden="1" customHeight="1" x14ac:dyDescent="0.25">
      <c r="B125" s="160" t="s">
        <v>298</v>
      </c>
      <c r="C125" s="14" t="s">
        <v>46</v>
      </c>
      <c r="D125" s="13">
        <v>80820</v>
      </c>
      <c r="E125" s="12" t="s">
        <v>107</v>
      </c>
      <c r="F125" s="187" t="s">
        <v>354</v>
      </c>
      <c r="G125" s="12" t="s">
        <v>79</v>
      </c>
      <c r="H125" s="12" t="s">
        <v>69</v>
      </c>
      <c r="I125" s="12">
        <v>0</v>
      </c>
      <c r="J125" s="30" t="s">
        <v>35</v>
      </c>
      <c r="K125" s="12">
        <v>0</v>
      </c>
      <c r="L125" s="12">
        <v>0</v>
      </c>
      <c r="M125" s="174"/>
      <c r="N125" s="24">
        <v>2431.6</v>
      </c>
      <c r="O125" s="24">
        <v>0</v>
      </c>
      <c r="P125" s="31">
        <v>-2431.6</v>
      </c>
      <c r="Q125" s="24"/>
      <c r="R125" s="24"/>
      <c r="S125" s="24"/>
      <c r="T125" s="24"/>
      <c r="U125" s="24"/>
      <c r="V125" s="24"/>
      <c r="W125" s="24"/>
      <c r="X125" s="24"/>
      <c r="Y125" s="24"/>
      <c r="Z125" s="258"/>
      <c r="AA125" s="258"/>
      <c r="AB125" s="258"/>
      <c r="AC125" s="258"/>
      <c r="AD125" s="258"/>
      <c r="AE125" s="258"/>
      <c r="AF125" s="25">
        <f t="shared" si="126"/>
        <v>0</v>
      </c>
      <c r="AG125" s="24">
        <v>0</v>
      </c>
      <c r="AH125" s="24">
        <v>0</v>
      </c>
      <c r="AI125" s="24">
        <v>0</v>
      </c>
    </row>
    <row r="126" spans="1:35" ht="70.5" customHeight="1" x14ac:dyDescent="0.25">
      <c r="B126" s="160" t="s">
        <v>299</v>
      </c>
      <c r="C126" s="14" t="s">
        <v>46</v>
      </c>
      <c r="D126" s="13">
        <v>80820</v>
      </c>
      <c r="E126" s="12" t="s">
        <v>107</v>
      </c>
      <c r="F126" s="3" t="s">
        <v>95</v>
      </c>
      <c r="G126" s="12" t="s">
        <v>79</v>
      </c>
      <c r="H126" s="12" t="s">
        <v>69</v>
      </c>
      <c r="I126" s="12">
        <v>1</v>
      </c>
      <c r="J126" s="30">
        <v>45656</v>
      </c>
      <c r="K126" s="12">
        <v>0</v>
      </c>
      <c r="L126" s="12">
        <v>0</v>
      </c>
      <c r="M126" s="174"/>
      <c r="N126" s="24">
        <f>1385.91-318.67</f>
        <v>1067.24</v>
      </c>
      <c r="O126" s="24">
        <v>0</v>
      </c>
      <c r="P126" s="31"/>
      <c r="Q126" s="24"/>
      <c r="R126" s="24"/>
      <c r="S126" s="24"/>
      <c r="T126" s="24"/>
      <c r="U126" s="24"/>
      <c r="V126" s="24"/>
      <c r="W126" s="24"/>
      <c r="X126" s="24"/>
      <c r="Y126" s="24"/>
      <c r="Z126" s="258"/>
      <c r="AA126" s="258"/>
      <c r="AB126" s="258"/>
      <c r="AC126" s="258"/>
      <c r="AD126" s="258"/>
      <c r="AE126" s="258"/>
      <c r="AF126" s="25">
        <f t="shared" si="126"/>
        <v>1067.24</v>
      </c>
      <c r="AG126" s="24">
        <v>0</v>
      </c>
      <c r="AH126" s="24">
        <v>0</v>
      </c>
      <c r="AI126" s="24">
        <v>0</v>
      </c>
    </row>
    <row r="127" spans="1:35" ht="30" x14ac:dyDescent="0.25">
      <c r="B127" s="247" t="s">
        <v>436</v>
      </c>
      <c r="C127" s="14" t="s">
        <v>46</v>
      </c>
      <c r="D127" s="13">
        <v>80820</v>
      </c>
      <c r="E127" s="12" t="s">
        <v>107</v>
      </c>
      <c r="F127" s="3" t="s">
        <v>435</v>
      </c>
      <c r="G127" s="12" t="s">
        <v>79</v>
      </c>
      <c r="H127" s="12" t="s">
        <v>69</v>
      </c>
      <c r="I127" s="12">
        <v>1</v>
      </c>
      <c r="J127" s="30">
        <v>45656</v>
      </c>
      <c r="K127" s="12">
        <v>0</v>
      </c>
      <c r="L127" s="12">
        <v>0</v>
      </c>
      <c r="M127" s="174"/>
      <c r="N127" s="24"/>
      <c r="O127" s="24"/>
      <c r="P127" s="31"/>
      <c r="Q127" s="24"/>
      <c r="R127" s="24"/>
      <c r="S127" s="24"/>
      <c r="T127" s="24"/>
      <c r="U127" s="24"/>
      <c r="V127" s="24">
        <v>1665.15</v>
      </c>
      <c r="W127" s="24"/>
      <c r="X127" s="24"/>
      <c r="Y127" s="24"/>
      <c r="Z127" s="258"/>
      <c r="AA127" s="258"/>
      <c r="AB127" s="258"/>
      <c r="AC127" s="258"/>
      <c r="AD127" s="258"/>
      <c r="AE127" s="258"/>
      <c r="AF127" s="25">
        <f t="shared" si="126"/>
        <v>1665.15</v>
      </c>
      <c r="AG127" s="24">
        <v>0</v>
      </c>
      <c r="AH127" s="24">
        <v>0</v>
      </c>
      <c r="AI127" s="24">
        <v>0</v>
      </c>
    </row>
    <row r="128" spans="1:35" ht="70.5" customHeight="1" x14ac:dyDescent="0.25">
      <c r="B128" s="247" t="s">
        <v>427</v>
      </c>
      <c r="C128" s="14" t="s">
        <v>46</v>
      </c>
      <c r="D128" s="13">
        <v>80820</v>
      </c>
      <c r="E128" s="12" t="s">
        <v>107</v>
      </c>
      <c r="F128" s="3" t="s">
        <v>400</v>
      </c>
      <c r="G128" s="12" t="s">
        <v>79</v>
      </c>
      <c r="H128" s="12" t="s">
        <v>69</v>
      </c>
      <c r="I128" s="12">
        <v>1</v>
      </c>
      <c r="J128" s="30">
        <v>45656</v>
      </c>
      <c r="K128" s="12">
        <v>0</v>
      </c>
      <c r="L128" s="12">
        <v>0</v>
      </c>
      <c r="M128" s="174"/>
      <c r="N128" s="24"/>
      <c r="O128" s="24"/>
      <c r="P128" s="31"/>
      <c r="Q128" s="24"/>
      <c r="R128" s="24"/>
      <c r="S128" s="24"/>
      <c r="T128" s="24"/>
      <c r="U128" s="113">
        <v>1989.37</v>
      </c>
      <c r="V128" s="24"/>
      <c r="W128" s="24"/>
      <c r="X128" s="24">
        <v>754.81</v>
      </c>
      <c r="Y128" s="24"/>
      <c r="Z128" s="258">
        <v>-10.52</v>
      </c>
      <c r="AA128" s="258"/>
      <c r="AB128" s="258"/>
      <c r="AC128" s="258"/>
      <c r="AD128" s="258"/>
      <c r="AE128" s="258"/>
      <c r="AF128" s="25">
        <f t="shared" si="126"/>
        <v>2733.66</v>
      </c>
      <c r="AG128" s="24">
        <v>0</v>
      </c>
      <c r="AH128" s="24">
        <v>0</v>
      </c>
      <c r="AI128" s="24">
        <v>0</v>
      </c>
    </row>
    <row r="129" spans="1:35" ht="30" x14ac:dyDescent="0.25">
      <c r="B129" s="160" t="s">
        <v>300</v>
      </c>
      <c r="C129" s="14" t="s">
        <v>46</v>
      </c>
      <c r="D129" s="13">
        <v>80820</v>
      </c>
      <c r="E129" s="12" t="s">
        <v>107</v>
      </c>
      <c r="F129" s="3" t="s">
        <v>61</v>
      </c>
      <c r="G129" s="12" t="s">
        <v>79</v>
      </c>
      <c r="H129" s="12" t="s">
        <v>69</v>
      </c>
      <c r="I129" s="12">
        <v>5</v>
      </c>
      <c r="J129" s="30">
        <v>45656</v>
      </c>
      <c r="K129" s="12">
        <v>5</v>
      </c>
      <c r="L129" s="12">
        <v>5</v>
      </c>
      <c r="M129" s="174"/>
      <c r="N129" s="24">
        <v>90</v>
      </c>
      <c r="O129" s="24">
        <v>0</v>
      </c>
      <c r="P129" s="31"/>
      <c r="Q129" s="24"/>
      <c r="R129" s="24"/>
      <c r="S129" s="24"/>
      <c r="T129" s="24"/>
      <c r="U129" s="24"/>
      <c r="V129" s="24"/>
      <c r="W129" s="24"/>
      <c r="X129" s="24"/>
      <c r="Y129" s="24"/>
      <c r="Z129" s="258"/>
      <c r="AA129" s="258"/>
      <c r="AB129" s="258"/>
      <c r="AC129" s="258"/>
      <c r="AD129" s="258"/>
      <c r="AE129" s="258"/>
      <c r="AF129" s="25">
        <f t="shared" si="126"/>
        <v>90</v>
      </c>
      <c r="AG129" s="24">
        <v>0</v>
      </c>
      <c r="AH129" s="24">
        <v>90</v>
      </c>
      <c r="AI129" s="24">
        <v>90</v>
      </c>
    </row>
    <row r="130" spans="1:35" ht="48" customHeight="1" x14ac:dyDescent="0.25">
      <c r="B130" s="160" t="s">
        <v>449</v>
      </c>
      <c r="C130" s="14" t="s">
        <v>46</v>
      </c>
      <c r="D130" s="13">
        <v>80820</v>
      </c>
      <c r="E130" s="12" t="s">
        <v>107</v>
      </c>
      <c r="F130" s="3" t="s">
        <v>456</v>
      </c>
      <c r="G130" s="12" t="s">
        <v>79</v>
      </c>
      <c r="H130" s="12" t="s">
        <v>69</v>
      </c>
      <c r="I130" s="12">
        <v>1</v>
      </c>
      <c r="J130" s="30">
        <v>45656</v>
      </c>
      <c r="K130" s="12">
        <v>0</v>
      </c>
      <c r="L130" s="12">
        <v>0</v>
      </c>
      <c r="M130" s="17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58"/>
      <c r="AA130" s="258"/>
      <c r="AB130" s="258">
        <v>6359.12</v>
      </c>
      <c r="AC130" s="258"/>
      <c r="AD130" s="258"/>
      <c r="AE130" s="258"/>
      <c r="AF130" s="25">
        <f t="shared" si="126"/>
        <v>6359.12</v>
      </c>
      <c r="AG130" s="24">
        <v>0</v>
      </c>
      <c r="AH130" s="24">
        <v>0</v>
      </c>
      <c r="AI130" s="24">
        <v>0</v>
      </c>
    </row>
    <row r="131" spans="1:35" ht="69" customHeight="1" x14ac:dyDescent="0.25">
      <c r="B131" s="160" t="s">
        <v>450</v>
      </c>
      <c r="C131" s="14" t="s">
        <v>46</v>
      </c>
      <c r="D131" s="13">
        <v>80820</v>
      </c>
      <c r="E131" s="12" t="s">
        <v>107</v>
      </c>
      <c r="F131" s="3" t="s">
        <v>457</v>
      </c>
      <c r="G131" s="12" t="s">
        <v>79</v>
      </c>
      <c r="H131" s="12" t="s">
        <v>69</v>
      </c>
      <c r="I131" s="12">
        <v>1</v>
      </c>
      <c r="J131" s="30">
        <v>45656</v>
      </c>
      <c r="K131" s="12">
        <v>0</v>
      </c>
      <c r="L131" s="12">
        <v>0</v>
      </c>
      <c r="M131" s="17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58"/>
      <c r="AA131" s="258"/>
      <c r="AB131" s="258">
        <v>298.11</v>
      </c>
      <c r="AC131" s="258"/>
      <c r="AD131" s="258"/>
      <c r="AE131" s="258"/>
      <c r="AF131" s="25">
        <f t="shared" si="126"/>
        <v>298.11</v>
      </c>
      <c r="AG131" s="24">
        <v>0</v>
      </c>
      <c r="AH131" s="24">
        <v>0</v>
      </c>
      <c r="AI131" s="24">
        <v>0</v>
      </c>
    </row>
    <row r="132" spans="1:35" ht="69" customHeight="1" x14ac:dyDescent="0.25">
      <c r="B132" s="160" t="s">
        <v>451</v>
      </c>
      <c r="C132" s="14" t="s">
        <v>46</v>
      </c>
      <c r="D132" s="13">
        <v>80820</v>
      </c>
      <c r="E132" s="12" t="s">
        <v>107</v>
      </c>
      <c r="F132" s="3" t="s">
        <v>444</v>
      </c>
      <c r="G132" s="12" t="s">
        <v>79</v>
      </c>
      <c r="H132" s="12" t="s">
        <v>69</v>
      </c>
      <c r="I132" s="12">
        <v>1</v>
      </c>
      <c r="J132" s="30">
        <v>45656</v>
      </c>
      <c r="K132" s="12">
        <v>0</v>
      </c>
      <c r="L132" s="12">
        <v>0</v>
      </c>
      <c r="M132" s="174"/>
      <c r="N132" s="25"/>
      <c r="O132" s="24">
        <v>0</v>
      </c>
      <c r="P132" s="24">
        <v>0</v>
      </c>
      <c r="Q132" s="24">
        <v>0</v>
      </c>
      <c r="R132" s="24"/>
      <c r="S132" s="24"/>
      <c r="T132" s="24"/>
      <c r="U132" s="24"/>
      <c r="V132" s="24"/>
      <c r="W132" s="24"/>
      <c r="X132" s="24"/>
      <c r="Y132" s="24"/>
      <c r="Z132" s="258"/>
      <c r="AA132" s="258"/>
      <c r="AB132" s="258">
        <v>343</v>
      </c>
      <c r="AC132" s="258"/>
      <c r="AD132" s="258"/>
      <c r="AE132" s="258"/>
      <c r="AF132" s="25">
        <f t="shared" si="126"/>
        <v>343</v>
      </c>
      <c r="AG132" s="24">
        <v>0</v>
      </c>
      <c r="AH132" s="24">
        <v>0</v>
      </c>
      <c r="AI132" s="24">
        <v>0</v>
      </c>
    </row>
    <row r="133" spans="1:35" ht="30.75" customHeight="1" x14ac:dyDescent="0.25">
      <c r="A133" s="162"/>
      <c r="C133" s="92" t="s">
        <v>46</v>
      </c>
      <c r="D133" s="93"/>
      <c r="E133" s="84" t="s">
        <v>33</v>
      </c>
      <c r="F133" s="85" t="s">
        <v>469</v>
      </c>
      <c r="G133" s="84" t="s">
        <v>33</v>
      </c>
      <c r="H133" s="84" t="s">
        <v>33</v>
      </c>
      <c r="I133" s="84" t="s">
        <v>33</v>
      </c>
      <c r="J133" s="94" t="s">
        <v>33</v>
      </c>
      <c r="K133" s="84" t="s">
        <v>33</v>
      </c>
      <c r="L133" s="84" t="s">
        <v>33</v>
      </c>
      <c r="M133" s="181"/>
      <c r="N133" s="87">
        <f>N134</f>
        <v>1528.16</v>
      </c>
      <c r="O133" s="87">
        <f t="shared" ref="O133:AI133" si="127">O134</f>
        <v>0</v>
      </c>
      <c r="P133" s="120">
        <f>P134</f>
        <v>0</v>
      </c>
      <c r="Q133" s="87">
        <f>Q134</f>
        <v>-300</v>
      </c>
      <c r="R133" s="87">
        <f>R134</f>
        <v>0</v>
      </c>
      <c r="S133" s="87">
        <f>S134</f>
        <v>0</v>
      </c>
      <c r="T133" s="87">
        <f t="shared" ref="T133:AF133" si="128">T134</f>
        <v>0</v>
      </c>
      <c r="U133" s="87">
        <f t="shared" si="128"/>
        <v>0</v>
      </c>
      <c r="V133" s="87">
        <f t="shared" si="128"/>
        <v>0</v>
      </c>
      <c r="W133" s="87">
        <f t="shared" si="128"/>
        <v>0</v>
      </c>
      <c r="X133" s="87">
        <f t="shared" si="128"/>
        <v>0</v>
      </c>
      <c r="Y133" s="87">
        <f t="shared" si="128"/>
        <v>0</v>
      </c>
      <c r="Z133" s="257">
        <f t="shared" si="128"/>
        <v>0</v>
      </c>
      <c r="AA133" s="257"/>
      <c r="AB133" s="257">
        <f t="shared" ref="AB133:AC133" si="129">AB134</f>
        <v>0</v>
      </c>
      <c r="AC133" s="257">
        <f t="shared" si="129"/>
        <v>0</v>
      </c>
      <c r="AD133" s="257"/>
      <c r="AE133" s="257"/>
      <c r="AF133" s="87">
        <f t="shared" si="128"/>
        <v>1228.1600000000001</v>
      </c>
      <c r="AG133" s="87">
        <f t="shared" si="127"/>
        <v>0</v>
      </c>
      <c r="AH133" s="87">
        <f t="shared" si="127"/>
        <v>0</v>
      </c>
      <c r="AI133" s="87">
        <f t="shared" si="127"/>
        <v>0</v>
      </c>
    </row>
    <row r="134" spans="1:35" s="11" customFormat="1" ht="24.75" customHeight="1" x14ac:dyDescent="0.25">
      <c r="A134" s="166"/>
      <c r="B134" s="166" t="s">
        <v>301</v>
      </c>
      <c r="C134" s="228" t="s">
        <v>46</v>
      </c>
      <c r="D134" s="20">
        <v>80820</v>
      </c>
      <c r="E134" s="21" t="s">
        <v>107</v>
      </c>
      <c r="F134" s="229" t="s">
        <v>94</v>
      </c>
      <c r="G134" s="230" t="s">
        <v>79</v>
      </c>
      <c r="H134" s="230" t="s">
        <v>69</v>
      </c>
      <c r="I134" s="230">
        <v>1</v>
      </c>
      <c r="J134" s="233">
        <v>45656</v>
      </c>
      <c r="K134" s="21">
        <v>0</v>
      </c>
      <c r="L134" s="21">
        <v>0</v>
      </c>
      <c r="M134" s="186"/>
      <c r="N134" s="26">
        <f>1539.26-11.1</f>
        <v>1528.16</v>
      </c>
      <c r="O134" s="26">
        <v>0</v>
      </c>
      <c r="P134" s="217"/>
      <c r="Q134" s="26">
        <v>-300</v>
      </c>
      <c r="R134" s="26"/>
      <c r="S134" s="26"/>
      <c r="T134" s="26"/>
      <c r="U134" s="26"/>
      <c r="V134" s="26"/>
      <c r="W134" s="26"/>
      <c r="X134" s="26"/>
      <c r="Y134" s="26"/>
      <c r="Z134" s="263"/>
      <c r="AA134" s="263"/>
      <c r="AB134" s="263"/>
      <c r="AC134" s="263"/>
      <c r="AD134" s="263"/>
      <c r="AE134" s="263"/>
      <c r="AF134" s="26">
        <f>SUM(N134:AC134)-O134</f>
        <v>1228.1600000000001</v>
      </c>
      <c r="AG134" s="26">
        <v>0</v>
      </c>
      <c r="AH134" s="26">
        <v>0</v>
      </c>
      <c r="AI134" s="26">
        <v>0</v>
      </c>
    </row>
    <row r="135" spans="1:35" s="46" customFormat="1" ht="31.5" customHeight="1" x14ac:dyDescent="0.2">
      <c r="A135" s="161"/>
      <c r="B135" s="161"/>
      <c r="C135" s="83" t="s">
        <v>46</v>
      </c>
      <c r="D135" s="84"/>
      <c r="E135" s="84" t="s">
        <v>33</v>
      </c>
      <c r="F135" s="85" t="s">
        <v>202</v>
      </c>
      <c r="G135" s="84" t="s">
        <v>33</v>
      </c>
      <c r="H135" s="84" t="s">
        <v>33</v>
      </c>
      <c r="I135" s="84" t="s">
        <v>33</v>
      </c>
      <c r="J135" s="94" t="s">
        <v>33</v>
      </c>
      <c r="K135" s="84" t="s">
        <v>33</v>
      </c>
      <c r="L135" s="84" t="s">
        <v>33</v>
      </c>
      <c r="M135" s="181"/>
      <c r="N135" s="87">
        <f>SUM(N136:N138)</f>
        <v>465.2</v>
      </c>
      <c r="O135" s="87">
        <f t="shared" ref="O135:AI135" si="130">SUM(O136:O138)</f>
        <v>0</v>
      </c>
      <c r="P135" s="120">
        <f>SUM(P136:P138)</f>
        <v>0</v>
      </c>
      <c r="Q135" s="87">
        <f>SUM(Q136:Q138)</f>
        <v>-465.2</v>
      </c>
      <c r="R135" s="87">
        <f>SUM(R136:R147)</f>
        <v>2510.1999999999998</v>
      </c>
      <c r="S135" s="87">
        <f>SUM(S136:S147)</f>
        <v>-491.74</v>
      </c>
      <c r="T135" s="87">
        <f>SUM(T136:T138)</f>
        <v>0</v>
      </c>
      <c r="U135" s="87">
        <f>SUM(U136:U138)</f>
        <v>0</v>
      </c>
      <c r="V135" s="87">
        <f>SUM(V136:V138)</f>
        <v>0</v>
      </c>
      <c r="W135" s="87">
        <f>SUM(W136:W138)</f>
        <v>0</v>
      </c>
      <c r="X135" s="87">
        <f>SUM(X136:X147)</f>
        <v>560</v>
      </c>
      <c r="Y135" s="87">
        <f>SUM(Y136:Y138)</f>
        <v>0</v>
      </c>
      <c r="Z135" s="257">
        <f>SUM(Z136:Z138)</f>
        <v>0</v>
      </c>
      <c r="AA135" s="257"/>
      <c r="AB135" s="257">
        <f>SUM(AB136:AB138)</f>
        <v>163.80000000000001</v>
      </c>
      <c r="AC135" s="257">
        <f>SUM(AC136:AC138)</f>
        <v>0</v>
      </c>
      <c r="AD135" s="257"/>
      <c r="AE135" s="257"/>
      <c r="AF135" s="87">
        <f>SUM(AF136:AF147)</f>
        <v>2742.2599999999998</v>
      </c>
      <c r="AG135" s="87">
        <f t="shared" ref="AG135" si="131">SUM(AG136:AG138)</f>
        <v>0</v>
      </c>
      <c r="AH135" s="87">
        <f t="shared" si="130"/>
        <v>465.2</v>
      </c>
      <c r="AI135" s="87">
        <f t="shared" si="130"/>
        <v>465.2</v>
      </c>
    </row>
    <row r="136" spans="1:35" ht="30" x14ac:dyDescent="0.25">
      <c r="B136" s="247" t="s">
        <v>428</v>
      </c>
      <c r="C136" s="14" t="s">
        <v>46</v>
      </c>
      <c r="D136" s="13"/>
      <c r="E136" s="12" t="s">
        <v>107</v>
      </c>
      <c r="F136" s="3" t="s">
        <v>59</v>
      </c>
      <c r="G136" s="12" t="s">
        <v>79</v>
      </c>
      <c r="H136" s="12" t="s">
        <v>69</v>
      </c>
      <c r="I136" s="12">
        <v>5</v>
      </c>
      <c r="J136" s="30">
        <v>45656</v>
      </c>
      <c r="K136" s="12">
        <v>0</v>
      </c>
      <c r="L136" s="12">
        <v>0</v>
      </c>
      <c r="M136" s="174"/>
      <c r="N136" s="24">
        <v>0</v>
      </c>
      <c r="O136" s="24">
        <v>0</v>
      </c>
      <c r="P136" s="31"/>
      <c r="Q136" s="24"/>
      <c r="R136" s="24"/>
      <c r="S136" s="24"/>
      <c r="T136" s="24"/>
      <c r="U136" s="24"/>
      <c r="V136" s="24"/>
      <c r="W136" s="24"/>
      <c r="X136" s="24">
        <v>50</v>
      </c>
      <c r="Y136" s="24"/>
      <c r="Z136" s="258"/>
      <c r="AA136" s="258"/>
      <c r="AB136" s="258"/>
      <c r="AC136" s="258"/>
      <c r="AD136" s="258"/>
      <c r="AE136" s="258"/>
      <c r="AF136" s="25">
        <f t="shared" ref="AF136:AF147" si="132">SUM(N136:AC136)-O136</f>
        <v>50</v>
      </c>
      <c r="AG136" s="24">
        <v>0</v>
      </c>
      <c r="AH136" s="24">
        <v>0</v>
      </c>
      <c r="AI136" s="24">
        <v>0</v>
      </c>
    </row>
    <row r="137" spans="1:35" ht="30" x14ac:dyDescent="0.25">
      <c r="B137" s="160" t="s">
        <v>302</v>
      </c>
      <c r="C137" s="14" t="s">
        <v>46</v>
      </c>
      <c r="D137" s="13">
        <v>80820</v>
      </c>
      <c r="E137" s="12" t="s">
        <v>107</v>
      </c>
      <c r="F137" s="270" t="s">
        <v>60</v>
      </c>
      <c r="G137" s="189" t="s">
        <v>79</v>
      </c>
      <c r="H137" s="189" t="s">
        <v>69</v>
      </c>
      <c r="I137" s="12">
        <v>29</v>
      </c>
      <c r="J137" s="30">
        <v>45656</v>
      </c>
      <c r="K137" s="12">
        <v>1</v>
      </c>
      <c r="L137" s="12">
        <v>1</v>
      </c>
      <c r="M137" s="174"/>
      <c r="N137" s="24">
        <v>465.2</v>
      </c>
      <c r="O137" s="24">
        <v>0</v>
      </c>
      <c r="P137" s="31"/>
      <c r="Q137" s="24">
        <v>-465.2</v>
      </c>
      <c r="R137" s="24"/>
      <c r="S137" s="24"/>
      <c r="T137" s="24"/>
      <c r="U137" s="24"/>
      <c r="V137" s="24"/>
      <c r="W137" s="24"/>
      <c r="X137" s="24">
        <f>260+100</f>
        <v>360</v>
      </c>
      <c r="Y137" s="24"/>
      <c r="Z137" s="258"/>
      <c r="AA137" s="258"/>
      <c r="AB137" s="273">
        <v>163.80000000000001</v>
      </c>
      <c r="AC137" s="258"/>
      <c r="AD137" s="258"/>
      <c r="AE137" s="258"/>
      <c r="AF137" s="25">
        <f t="shared" si="132"/>
        <v>523.79999999999995</v>
      </c>
      <c r="AG137" s="24">
        <v>0</v>
      </c>
      <c r="AH137" s="24">
        <v>465.2</v>
      </c>
      <c r="AI137" s="24">
        <v>465.2</v>
      </c>
    </row>
    <row r="138" spans="1:35" ht="30" x14ac:dyDescent="0.25">
      <c r="C138" s="14" t="s">
        <v>46</v>
      </c>
      <c r="D138" s="13">
        <v>80820</v>
      </c>
      <c r="E138" s="12" t="s">
        <v>107</v>
      </c>
      <c r="F138" s="3" t="s">
        <v>92</v>
      </c>
      <c r="G138" s="189" t="s">
        <v>79</v>
      </c>
      <c r="H138" s="12" t="s">
        <v>69</v>
      </c>
      <c r="I138" s="12">
        <v>0</v>
      </c>
      <c r="J138" s="30" t="s">
        <v>35</v>
      </c>
      <c r="K138" s="12">
        <v>0</v>
      </c>
      <c r="L138" s="12">
        <v>0</v>
      </c>
      <c r="M138" s="174"/>
      <c r="N138" s="24">
        <v>0</v>
      </c>
      <c r="O138" s="24">
        <v>0</v>
      </c>
      <c r="P138" s="31">
        <v>0</v>
      </c>
      <c r="Q138" s="24">
        <v>0</v>
      </c>
      <c r="R138" s="24">
        <v>0</v>
      </c>
      <c r="S138" s="24"/>
      <c r="T138" s="24">
        <v>0</v>
      </c>
      <c r="U138" s="24"/>
      <c r="V138" s="24">
        <v>0</v>
      </c>
      <c r="W138" s="24">
        <v>0</v>
      </c>
      <c r="X138" s="24">
        <v>0</v>
      </c>
      <c r="Y138" s="24">
        <v>0</v>
      </c>
      <c r="Z138" s="258">
        <v>0</v>
      </c>
      <c r="AA138" s="258"/>
      <c r="AB138" s="258">
        <v>0</v>
      </c>
      <c r="AC138" s="258">
        <v>0</v>
      </c>
      <c r="AD138" s="258"/>
      <c r="AE138" s="258"/>
      <c r="AF138" s="25">
        <f t="shared" si="132"/>
        <v>0</v>
      </c>
      <c r="AG138" s="24">
        <v>0</v>
      </c>
      <c r="AH138" s="24">
        <v>0</v>
      </c>
      <c r="AI138" s="24">
        <v>0</v>
      </c>
    </row>
    <row r="139" spans="1:35" s="11" customFormat="1" ht="45" x14ac:dyDescent="0.25">
      <c r="A139" s="166"/>
      <c r="B139" s="166" t="s">
        <v>374</v>
      </c>
      <c r="C139" s="228" t="s">
        <v>46</v>
      </c>
      <c r="D139" s="20">
        <v>80820</v>
      </c>
      <c r="E139" s="21" t="s">
        <v>107</v>
      </c>
      <c r="F139" s="22" t="s">
        <v>373</v>
      </c>
      <c r="G139" s="230" t="s">
        <v>79</v>
      </c>
      <c r="H139" s="21" t="s">
        <v>69</v>
      </c>
      <c r="I139" s="21">
        <v>1</v>
      </c>
      <c r="J139" s="233">
        <v>45656</v>
      </c>
      <c r="K139" s="21">
        <v>0</v>
      </c>
      <c r="L139" s="21">
        <v>0</v>
      </c>
      <c r="M139" s="186"/>
      <c r="N139" s="26"/>
      <c r="O139" s="26"/>
      <c r="P139" s="217"/>
      <c r="Q139" s="26"/>
      <c r="R139" s="26">
        <v>158.83000000000001</v>
      </c>
      <c r="S139" s="26"/>
      <c r="T139" s="26"/>
      <c r="U139" s="26"/>
      <c r="V139" s="26"/>
      <c r="W139" s="26"/>
      <c r="X139" s="26"/>
      <c r="Y139" s="26"/>
      <c r="Z139" s="263"/>
      <c r="AA139" s="263"/>
      <c r="AB139" s="263"/>
      <c r="AC139" s="263"/>
      <c r="AD139" s="263"/>
      <c r="AE139" s="263"/>
      <c r="AF139" s="26">
        <f t="shared" si="132"/>
        <v>158.83000000000001</v>
      </c>
      <c r="AG139" s="26">
        <v>0</v>
      </c>
      <c r="AH139" s="26">
        <v>0</v>
      </c>
      <c r="AI139" s="26">
        <v>0</v>
      </c>
    </row>
    <row r="140" spans="1:35" s="11" customFormat="1" ht="47.25" x14ac:dyDescent="0.25">
      <c r="A140" s="166"/>
      <c r="B140" s="166" t="s">
        <v>375</v>
      </c>
      <c r="C140" s="228" t="s">
        <v>46</v>
      </c>
      <c r="D140" s="20">
        <v>80820</v>
      </c>
      <c r="E140" s="21" t="s">
        <v>107</v>
      </c>
      <c r="F140" s="244" t="s">
        <v>382</v>
      </c>
      <c r="G140" s="230" t="s">
        <v>79</v>
      </c>
      <c r="H140" s="21" t="s">
        <v>69</v>
      </c>
      <c r="I140" s="21">
        <v>1</v>
      </c>
      <c r="J140" s="233">
        <v>45656</v>
      </c>
      <c r="K140" s="21">
        <v>0</v>
      </c>
      <c r="L140" s="21">
        <v>0</v>
      </c>
      <c r="M140" s="186"/>
      <c r="N140" s="26"/>
      <c r="O140" s="26"/>
      <c r="P140" s="217"/>
      <c r="Q140" s="26"/>
      <c r="R140" s="26">
        <v>250</v>
      </c>
      <c r="S140" s="26"/>
      <c r="T140" s="26"/>
      <c r="U140" s="26"/>
      <c r="V140" s="26"/>
      <c r="W140" s="26"/>
      <c r="X140" s="26"/>
      <c r="Y140" s="26"/>
      <c r="Z140" s="263"/>
      <c r="AA140" s="263"/>
      <c r="AB140" s="263"/>
      <c r="AC140" s="263"/>
      <c r="AD140" s="263"/>
      <c r="AE140" s="263"/>
      <c r="AF140" s="26">
        <f t="shared" si="132"/>
        <v>250</v>
      </c>
      <c r="AG140" s="26">
        <v>0</v>
      </c>
      <c r="AH140" s="26">
        <v>0</v>
      </c>
      <c r="AI140" s="26">
        <v>0</v>
      </c>
    </row>
    <row r="141" spans="1:35" s="11" customFormat="1" ht="63" x14ac:dyDescent="0.25">
      <c r="A141" s="166"/>
      <c r="B141" s="166" t="s">
        <v>376</v>
      </c>
      <c r="C141" s="228" t="s">
        <v>46</v>
      </c>
      <c r="D141" s="20">
        <v>80820</v>
      </c>
      <c r="E141" s="21" t="s">
        <v>107</v>
      </c>
      <c r="F141" s="244" t="s">
        <v>383</v>
      </c>
      <c r="G141" s="230" t="s">
        <v>79</v>
      </c>
      <c r="H141" s="21" t="s">
        <v>69</v>
      </c>
      <c r="I141" s="21">
        <v>1</v>
      </c>
      <c r="J141" s="233">
        <v>45656</v>
      </c>
      <c r="K141" s="21">
        <v>0</v>
      </c>
      <c r="L141" s="21">
        <v>0</v>
      </c>
      <c r="M141" s="186"/>
      <c r="N141" s="26"/>
      <c r="O141" s="26"/>
      <c r="P141" s="217"/>
      <c r="Q141" s="26"/>
      <c r="R141" s="26">
        <v>353.18</v>
      </c>
      <c r="S141" s="26"/>
      <c r="T141" s="26"/>
      <c r="U141" s="26"/>
      <c r="V141" s="26"/>
      <c r="W141" s="26"/>
      <c r="X141" s="26"/>
      <c r="Y141" s="26"/>
      <c r="Z141" s="263"/>
      <c r="AA141" s="263"/>
      <c r="AB141" s="263"/>
      <c r="AC141" s="263"/>
      <c r="AD141" s="263"/>
      <c r="AE141" s="263"/>
      <c r="AF141" s="26">
        <f t="shared" si="132"/>
        <v>353.18</v>
      </c>
      <c r="AG141" s="26">
        <v>0</v>
      </c>
      <c r="AH141" s="26">
        <v>0</v>
      </c>
      <c r="AI141" s="26">
        <v>0</v>
      </c>
    </row>
    <row r="142" spans="1:35" s="11" customFormat="1" ht="30" customHeight="1" x14ac:dyDescent="0.25">
      <c r="A142" s="166"/>
      <c r="B142" s="166" t="s">
        <v>362</v>
      </c>
      <c r="C142" s="228" t="s">
        <v>46</v>
      </c>
      <c r="D142" s="20">
        <v>80820</v>
      </c>
      <c r="E142" s="21" t="s">
        <v>107</v>
      </c>
      <c r="F142" s="22" t="s">
        <v>363</v>
      </c>
      <c r="G142" s="230" t="s">
        <v>79</v>
      </c>
      <c r="H142" s="21" t="s">
        <v>69</v>
      </c>
      <c r="I142" s="21">
        <v>8</v>
      </c>
      <c r="J142" s="233">
        <v>45656</v>
      </c>
      <c r="K142" s="21">
        <v>0</v>
      </c>
      <c r="L142" s="21">
        <v>0</v>
      </c>
      <c r="M142" s="186"/>
      <c r="N142" s="26"/>
      <c r="O142" s="26"/>
      <c r="P142" s="217"/>
      <c r="Q142" s="26"/>
      <c r="R142" s="26">
        <v>64</v>
      </c>
      <c r="S142" s="26"/>
      <c r="T142" s="26"/>
      <c r="U142" s="26"/>
      <c r="V142" s="26"/>
      <c r="W142" s="26"/>
      <c r="X142" s="26"/>
      <c r="Y142" s="26"/>
      <c r="Z142" s="263"/>
      <c r="AA142" s="263"/>
      <c r="AB142" s="263"/>
      <c r="AC142" s="263"/>
      <c r="AD142" s="263"/>
      <c r="AE142" s="263"/>
      <c r="AF142" s="26">
        <f t="shared" si="132"/>
        <v>64</v>
      </c>
      <c r="AG142" s="26">
        <v>0</v>
      </c>
      <c r="AH142" s="26">
        <v>0</v>
      </c>
      <c r="AI142" s="26">
        <v>0</v>
      </c>
    </row>
    <row r="143" spans="1:35" s="11" customFormat="1" ht="30" customHeight="1" x14ac:dyDescent="0.25">
      <c r="A143" s="166"/>
      <c r="B143" s="166" t="s">
        <v>370</v>
      </c>
      <c r="C143" s="228" t="s">
        <v>46</v>
      </c>
      <c r="D143" s="20">
        <v>80820</v>
      </c>
      <c r="E143" s="21" t="s">
        <v>386</v>
      </c>
      <c r="F143" s="22" t="s">
        <v>367</v>
      </c>
      <c r="G143" s="230" t="s">
        <v>79</v>
      </c>
      <c r="H143" s="21" t="s">
        <v>69</v>
      </c>
      <c r="I143" s="21">
        <v>0</v>
      </c>
      <c r="J143" s="233"/>
      <c r="K143" s="21">
        <v>0</v>
      </c>
      <c r="L143" s="21">
        <v>0</v>
      </c>
      <c r="M143" s="186"/>
      <c r="N143" s="26"/>
      <c r="O143" s="26"/>
      <c r="P143" s="217"/>
      <c r="Q143" s="26"/>
      <c r="R143" s="26">
        <v>491.74</v>
      </c>
      <c r="S143" s="26">
        <v>-491.74</v>
      </c>
      <c r="T143" s="26"/>
      <c r="U143" s="26"/>
      <c r="V143" s="26"/>
      <c r="W143" s="26"/>
      <c r="X143" s="26"/>
      <c r="Y143" s="26"/>
      <c r="Z143" s="263"/>
      <c r="AA143" s="263"/>
      <c r="AB143" s="263"/>
      <c r="AC143" s="263"/>
      <c r="AD143" s="263"/>
      <c r="AE143" s="263"/>
      <c r="AF143" s="26">
        <f t="shared" si="132"/>
        <v>0</v>
      </c>
      <c r="AG143" s="26">
        <v>0</v>
      </c>
      <c r="AH143" s="26">
        <v>0</v>
      </c>
      <c r="AI143" s="26">
        <v>0</v>
      </c>
    </row>
    <row r="144" spans="1:35" s="11" customFormat="1" ht="30" customHeight="1" x14ac:dyDescent="0.25">
      <c r="A144" s="166"/>
      <c r="B144" s="166" t="s">
        <v>371</v>
      </c>
      <c r="C144" s="228" t="s">
        <v>46</v>
      </c>
      <c r="D144" s="20">
        <v>80820</v>
      </c>
      <c r="E144" s="21" t="s">
        <v>107</v>
      </c>
      <c r="F144" s="22" t="s">
        <v>368</v>
      </c>
      <c r="G144" s="230" t="s">
        <v>79</v>
      </c>
      <c r="H144" s="21" t="s">
        <v>69</v>
      </c>
      <c r="I144" s="21">
        <v>1</v>
      </c>
      <c r="J144" s="233">
        <v>45656</v>
      </c>
      <c r="K144" s="21">
        <v>0</v>
      </c>
      <c r="L144" s="21">
        <v>0</v>
      </c>
      <c r="M144" s="186"/>
      <c r="N144" s="26"/>
      <c r="O144" s="26"/>
      <c r="P144" s="217"/>
      <c r="Q144" s="26"/>
      <c r="R144" s="26">
        <v>401.58</v>
      </c>
      <c r="S144" s="26"/>
      <c r="T144" s="26"/>
      <c r="U144" s="26"/>
      <c r="V144" s="26"/>
      <c r="W144" s="26"/>
      <c r="X144" s="26"/>
      <c r="Y144" s="26"/>
      <c r="Z144" s="263"/>
      <c r="AA144" s="263"/>
      <c r="AB144" s="263"/>
      <c r="AC144" s="263"/>
      <c r="AD144" s="263"/>
      <c r="AE144" s="263"/>
      <c r="AF144" s="26">
        <f t="shared" si="132"/>
        <v>401.58</v>
      </c>
      <c r="AG144" s="26">
        <v>0</v>
      </c>
      <c r="AH144" s="26">
        <v>0</v>
      </c>
      <c r="AI144" s="26">
        <v>0</v>
      </c>
    </row>
    <row r="145" spans="1:36" s="11" customFormat="1" ht="30" customHeight="1" x14ac:dyDescent="0.25">
      <c r="A145" s="166"/>
      <c r="B145" s="166" t="s">
        <v>378</v>
      </c>
      <c r="C145" s="228" t="s">
        <v>46</v>
      </c>
      <c r="D145" s="20">
        <v>80820</v>
      </c>
      <c r="E145" s="21" t="s">
        <v>107</v>
      </c>
      <c r="F145" s="22" t="s">
        <v>377</v>
      </c>
      <c r="G145" s="230" t="s">
        <v>79</v>
      </c>
      <c r="H145" s="21" t="s">
        <v>69</v>
      </c>
      <c r="I145" s="21">
        <v>1</v>
      </c>
      <c r="J145" s="233">
        <v>45656</v>
      </c>
      <c r="K145" s="21">
        <v>0</v>
      </c>
      <c r="L145" s="21">
        <v>0</v>
      </c>
      <c r="M145" s="186"/>
      <c r="N145" s="26"/>
      <c r="O145" s="26"/>
      <c r="P145" s="217"/>
      <c r="Q145" s="26"/>
      <c r="R145" s="26">
        <v>734.35</v>
      </c>
      <c r="S145" s="26"/>
      <c r="T145" s="26"/>
      <c r="U145" s="26"/>
      <c r="V145" s="26"/>
      <c r="W145" s="26"/>
      <c r="X145" s="26"/>
      <c r="Y145" s="26"/>
      <c r="Z145" s="263"/>
      <c r="AA145" s="263"/>
      <c r="AB145" s="263"/>
      <c r="AC145" s="263"/>
      <c r="AD145" s="263"/>
      <c r="AE145" s="263"/>
      <c r="AF145" s="26">
        <f t="shared" si="132"/>
        <v>734.35</v>
      </c>
      <c r="AG145" s="26">
        <v>0</v>
      </c>
      <c r="AH145" s="26">
        <v>0</v>
      </c>
      <c r="AI145" s="26">
        <v>0</v>
      </c>
    </row>
    <row r="146" spans="1:36" s="11" customFormat="1" ht="30" customHeight="1" x14ac:dyDescent="0.25">
      <c r="A146" s="166"/>
      <c r="B146" s="166" t="s">
        <v>380</v>
      </c>
      <c r="C146" s="228" t="s">
        <v>46</v>
      </c>
      <c r="D146" s="20">
        <v>80820</v>
      </c>
      <c r="E146" s="21" t="s">
        <v>107</v>
      </c>
      <c r="F146" s="22" t="s">
        <v>379</v>
      </c>
      <c r="G146" s="230" t="s">
        <v>79</v>
      </c>
      <c r="H146" s="21" t="s">
        <v>69</v>
      </c>
      <c r="I146" s="21">
        <v>1</v>
      </c>
      <c r="J146" s="233">
        <v>45656</v>
      </c>
      <c r="K146" s="21">
        <v>0</v>
      </c>
      <c r="L146" s="21">
        <v>0</v>
      </c>
      <c r="M146" s="186"/>
      <c r="N146" s="26"/>
      <c r="O146" s="26"/>
      <c r="P146" s="217"/>
      <c r="Q146" s="26"/>
      <c r="R146" s="26">
        <v>56.52</v>
      </c>
      <c r="S146" s="26"/>
      <c r="T146" s="26"/>
      <c r="U146" s="26"/>
      <c r="V146" s="26"/>
      <c r="W146" s="26"/>
      <c r="X146" s="26"/>
      <c r="Y146" s="26"/>
      <c r="Z146" s="263"/>
      <c r="AA146" s="263"/>
      <c r="AB146" s="263"/>
      <c r="AC146" s="263"/>
      <c r="AD146" s="263"/>
      <c r="AE146" s="263"/>
      <c r="AF146" s="26">
        <f t="shared" si="132"/>
        <v>56.52</v>
      </c>
      <c r="AG146" s="26">
        <v>0</v>
      </c>
      <c r="AH146" s="26">
        <v>0</v>
      </c>
      <c r="AI146" s="26">
        <v>0</v>
      </c>
    </row>
    <row r="147" spans="1:36" s="207" customFormat="1" ht="30" customHeight="1" x14ac:dyDescent="0.25">
      <c r="A147" s="204"/>
      <c r="B147" s="166" t="s">
        <v>429</v>
      </c>
      <c r="C147" s="228" t="s">
        <v>46</v>
      </c>
      <c r="D147" s="20">
        <v>80820</v>
      </c>
      <c r="E147" s="21" t="s">
        <v>107</v>
      </c>
      <c r="F147" s="22" t="s">
        <v>415</v>
      </c>
      <c r="G147" s="21" t="s">
        <v>74</v>
      </c>
      <c r="H147" s="21" t="s">
        <v>38</v>
      </c>
      <c r="I147" s="21">
        <v>1</v>
      </c>
      <c r="J147" s="233">
        <v>45656</v>
      </c>
      <c r="K147" s="21">
        <v>0</v>
      </c>
      <c r="L147" s="21">
        <v>0</v>
      </c>
      <c r="M147" s="205"/>
      <c r="N147" s="206"/>
      <c r="O147" s="206"/>
      <c r="P147" s="216"/>
      <c r="Q147" s="206"/>
      <c r="R147" s="206"/>
      <c r="S147" s="206"/>
      <c r="T147" s="206"/>
      <c r="U147" s="206"/>
      <c r="V147" s="26"/>
      <c r="W147" s="26"/>
      <c r="X147" s="26">
        <v>150</v>
      </c>
      <c r="Y147" s="26"/>
      <c r="Z147" s="263"/>
      <c r="AA147" s="263"/>
      <c r="AB147" s="263"/>
      <c r="AC147" s="263"/>
      <c r="AD147" s="263"/>
      <c r="AE147" s="263"/>
      <c r="AF147" s="26">
        <f t="shared" si="132"/>
        <v>150</v>
      </c>
      <c r="AG147" s="26">
        <v>0</v>
      </c>
      <c r="AH147" s="26">
        <v>0</v>
      </c>
      <c r="AI147" s="26">
        <v>0</v>
      </c>
    </row>
    <row r="148" spans="1:36" s="46" customFormat="1" ht="31.5" customHeight="1" x14ac:dyDescent="0.2">
      <c r="A148" s="161"/>
      <c r="B148" s="161"/>
      <c r="C148" s="83" t="s">
        <v>46</v>
      </c>
      <c r="D148" s="84"/>
      <c r="E148" s="84" t="s">
        <v>33</v>
      </c>
      <c r="F148" s="85" t="s">
        <v>203</v>
      </c>
      <c r="G148" s="84" t="s">
        <v>33</v>
      </c>
      <c r="H148" s="84" t="s">
        <v>33</v>
      </c>
      <c r="I148" s="84" t="s">
        <v>33</v>
      </c>
      <c r="J148" s="94" t="s">
        <v>33</v>
      </c>
      <c r="K148" s="84" t="s">
        <v>33</v>
      </c>
      <c r="L148" s="84" t="s">
        <v>33</v>
      </c>
      <c r="M148" s="181"/>
      <c r="N148" s="87">
        <f>SUM(N149:N152)</f>
        <v>1422.72</v>
      </c>
      <c r="O148" s="87">
        <f t="shared" ref="O148:AI148" si="133">SUM(O149:O152)</f>
        <v>0</v>
      </c>
      <c r="P148" s="120">
        <f>SUM(P149:P154)</f>
        <v>1267.3</v>
      </c>
      <c r="Q148" s="120">
        <f t="shared" ref="Q148:Z148" si="134">SUM(Q149:Q154)</f>
        <v>765.2</v>
      </c>
      <c r="R148" s="120">
        <f t="shared" si="134"/>
        <v>268.68</v>
      </c>
      <c r="S148" s="120">
        <f t="shared" si="134"/>
        <v>0</v>
      </c>
      <c r="T148" s="120">
        <f t="shared" si="134"/>
        <v>0</v>
      </c>
      <c r="U148" s="120">
        <f t="shared" si="134"/>
        <v>0</v>
      </c>
      <c r="V148" s="120">
        <f t="shared" si="134"/>
        <v>0</v>
      </c>
      <c r="W148" s="120">
        <f t="shared" si="134"/>
        <v>0</v>
      </c>
      <c r="X148" s="120">
        <f t="shared" si="134"/>
        <v>580</v>
      </c>
      <c r="Y148" s="120">
        <f t="shared" si="134"/>
        <v>0</v>
      </c>
      <c r="Z148" s="120">
        <f t="shared" si="134"/>
        <v>0</v>
      </c>
      <c r="AA148" s="120"/>
      <c r="AB148" s="120">
        <f t="shared" ref="AB148:AC148" si="135">SUM(AB149:AB154)</f>
        <v>0</v>
      </c>
      <c r="AC148" s="120">
        <f t="shared" si="135"/>
        <v>0</v>
      </c>
      <c r="AD148" s="120"/>
      <c r="AE148" s="120"/>
      <c r="AF148" s="87">
        <f>SUM(AF149:AF154)</f>
        <v>4303.8999999999996</v>
      </c>
      <c r="AG148" s="87">
        <f t="shared" ref="AG148" si="136">SUM(AG149:AG152)</f>
        <v>0</v>
      </c>
      <c r="AH148" s="87">
        <f>SUM(AH149:AH152)</f>
        <v>1048.95</v>
      </c>
      <c r="AI148" s="87">
        <f t="shared" si="133"/>
        <v>1048.95</v>
      </c>
    </row>
    <row r="149" spans="1:36" ht="35.25" customHeight="1" x14ac:dyDescent="0.25">
      <c r="B149" s="160" t="s">
        <v>303</v>
      </c>
      <c r="C149" s="14" t="s">
        <v>46</v>
      </c>
      <c r="D149" s="13">
        <v>80820</v>
      </c>
      <c r="E149" s="12" t="s">
        <v>82</v>
      </c>
      <c r="F149" s="3" t="s">
        <v>57</v>
      </c>
      <c r="G149" s="12" t="s">
        <v>72</v>
      </c>
      <c r="H149" s="12" t="s">
        <v>40</v>
      </c>
      <c r="I149" s="12">
        <v>2270</v>
      </c>
      <c r="J149" s="30">
        <v>45656</v>
      </c>
      <c r="K149" s="12">
        <f>I149</f>
        <v>2270</v>
      </c>
      <c r="L149" s="12">
        <f>K149</f>
        <v>2270</v>
      </c>
      <c r="M149" s="174"/>
      <c r="N149" s="24">
        <v>735.23</v>
      </c>
      <c r="O149" s="24">
        <v>0</v>
      </c>
      <c r="P149" s="31"/>
      <c r="Q149" s="24"/>
      <c r="R149" s="24"/>
      <c r="S149" s="24"/>
      <c r="T149" s="24"/>
      <c r="U149" s="24"/>
      <c r="V149" s="24"/>
      <c r="W149" s="24"/>
      <c r="X149" s="24"/>
      <c r="Y149" s="24"/>
      <c r="Z149" s="258"/>
      <c r="AA149" s="258"/>
      <c r="AB149" s="258"/>
      <c r="AC149" s="258"/>
      <c r="AD149" s="258"/>
      <c r="AE149" s="258"/>
      <c r="AF149" s="25">
        <f t="shared" ref="AF149:AF154" si="137">SUM(N149:AC149)-O149</f>
        <v>735.23</v>
      </c>
      <c r="AG149" s="24">
        <v>0</v>
      </c>
      <c r="AH149" s="24">
        <f>N149</f>
        <v>735.23</v>
      </c>
      <c r="AI149" s="24">
        <f>AH149</f>
        <v>735.23</v>
      </c>
    </row>
    <row r="150" spans="1:36" s="11" customFormat="1" ht="45" customHeight="1" x14ac:dyDescent="0.25">
      <c r="A150" s="166"/>
      <c r="B150" s="166" t="s">
        <v>304</v>
      </c>
      <c r="C150" s="228" t="s">
        <v>46</v>
      </c>
      <c r="D150" s="20"/>
      <c r="E150" s="21" t="s">
        <v>107</v>
      </c>
      <c r="F150" s="229" t="s">
        <v>93</v>
      </c>
      <c r="G150" s="21" t="s">
        <v>188</v>
      </c>
      <c r="H150" s="21" t="s">
        <v>38</v>
      </c>
      <c r="I150" s="21">
        <v>3</v>
      </c>
      <c r="J150" s="233">
        <v>45656</v>
      </c>
      <c r="K150" s="21">
        <v>1</v>
      </c>
      <c r="L150" s="21">
        <v>1</v>
      </c>
      <c r="M150" s="186"/>
      <c r="N150" s="26">
        <v>0</v>
      </c>
      <c r="O150" s="26">
        <v>0</v>
      </c>
      <c r="P150" s="217"/>
      <c r="Q150" s="26">
        <f>465.2+270.49+300</f>
        <v>1035.69</v>
      </c>
      <c r="R150" s="26"/>
      <c r="S150" s="26"/>
      <c r="T150" s="26"/>
      <c r="U150" s="26"/>
      <c r="V150" s="26"/>
      <c r="W150" s="26"/>
      <c r="X150" s="26">
        <v>580</v>
      </c>
      <c r="Y150" s="26"/>
      <c r="Z150" s="263"/>
      <c r="AA150" s="263"/>
      <c r="AB150" s="263"/>
      <c r="AC150" s="263"/>
      <c r="AD150" s="263"/>
      <c r="AE150" s="263"/>
      <c r="AF150" s="217">
        <f t="shared" si="137"/>
        <v>1615.69</v>
      </c>
      <c r="AG150" s="26">
        <v>0</v>
      </c>
      <c r="AH150" s="26">
        <v>313.72000000000003</v>
      </c>
      <c r="AI150" s="26">
        <f>AH150</f>
        <v>313.72000000000003</v>
      </c>
    </row>
    <row r="151" spans="1:36" ht="34.5" customHeight="1" x14ac:dyDescent="0.25">
      <c r="B151" s="160" t="s">
        <v>305</v>
      </c>
      <c r="C151" s="14" t="s">
        <v>46</v>
      </c>
      <c r="D151" s="13">
        <v>80820</v>
      </c>
      <c r="E151" s="12" t="s">
        <v>87</v>
      </c>
      <c r="F151" s="3" t="s">
        <v>96</v>
      </c>
      <c r="G151" s="12" t="s">
        <v>79</v>
      </c>
      <c r="H151" s="12" t="s">
        <v>69</v>
      </c>
      <c r="I151" s="12">
        <v>1</v>
      </c>
      <c r="J151" s="30">
        <v>45656</v>
      </c>
      <c r="K151" s="12">
        <v>0</v>
      </c>
      <c r="L151" s="12">
        <v>0</v>
      </c>
      <c r="M151" s="174"/>
      <c r="N151" s="24">
        <v>417</v>
      </c>
      <c r="O151" s="24">
        <v>0</v>
      </c>
      <c r="P151" s="31"/>
      <c r="Q151" s="24"/>
      <c r="R151" s="24"/>
      <c r="S151" s="24"/>
      <c r="T151" s="24"/>
      <c r="U151" s="24"/>
      <c r="V151" s="24"/>
      <c r="W151" s="24"/>
      <c r="X151" s="24"/>
      <c r="Y151" s="24"/>
      <c r="Z151" s="258"/>
      <c r="AA151" s="258"/>
      <c r="AB151" s="258"/>
      <c r="AC151" s="258"/>
      <c r="AD151" s="258"/>
      <c r="AE151" s="258"/>
      <c r="AF151" s="25">
        <f t="shared" si="137"/>
        <v>417</v>
      </c>
      <c r="AG151" s="24">
        <v>0</v>
      </c>
      <c r="AH151" s="24">
        <v>0</v>
      </c>
      <c r="AI151" s="24">
        <v>0</v>
      </c>
    </row>
    <row r="152" spans="1:36" s="11" customFormat="1" ht="24" hidden="1" customHeight="1" x14ac:dyDescent="0.25">
      <c r="A152" s="166"/>
      <c r="B152" s="166" t="s">
        <v>306</v>
      </c>
      <c r="C152" s="228" t="s">
        <v>46</v>
      </c>
      <c r="D152" s="20">
        <v>80820</v>
      </c>
      <c r="E152" s="21" t="s">
        <v>107</v>
      </c>
      <c r="F152" s="229" t="s">
        <v>97</v>
      </c>
      <c r="G152" s="230" t="s">
        <v>79</v>
      </c>
      <c r="H152" s="230" t="s">
        <v>69</v>
      </c>
      <c r="I152" s="230">
        <v>0</v>
      </c>
      <c r="J152" s="233" t="s">
        <v>35</v>
      </c>
      <c r="K152" s="21">
        <v>0</v>
      </c>
      <c r="L152" s="21">
        <v>0</v>
      </c>
      <c r="M152" s="186"/>
      <c r="N152" s="26">
        <v>270.49</v>
      </c>
      <c r="O152" s="26">
        <v>0</v>
      </c>
      <c r="P152" s="217"/>
      <c r="Q152" s="26">
        <v>-270.49</v>
      </c>
      <c r="R152" s="26"/>
      <c r="S152" s="26"/>
      <c r="T152" s="26"/>
      <c r="U152" s="26"/>
      <c r="V152" s="26"/>
      <c r="W152" s="26"/>
      <c r="X152" s="26"/>
      <c r="Y152" s="26"/>
      <c r="Z152" s="263"/>
      <c r="AA152" s="263"/>
      <c r="AB152" s="263"/>
      <c r="AC152" s="263"/>
      <c r="AD152" s="263"/>
      <c r="AE152" s="263"/>
      <c r="AF152" s="26">
        <f t="shared" si="137"/>
        <v>0</v>
      </c>
      <c r="AG152" s="26">
        <v>0</v>
      </c>
      <c r="AH152" s="26">
        <v>0</v>
      </c>
      <c r="AI152" s="26">
        <v>0</v>
      </c>
    </row>
    <row r="153" spans="1:36" s="11" customFormat="1" ht="38.25" customHeight="1" x14ac:dyDescent="0.25">
      <c r="A153" s="166"/>
      <c r="B153" s="166" t="s">
        <v>338</v>
      </c>
      <c r="C153" s="228" t="s">
        <v>46</v>
      </c>
      <c r="D153" s="20">
        <v>80820</v>
      </c>
      <c r="E153" s="21" t="s">
        <v>333</v>
      </c>
      <c r="F153" s="22" t="s">
        <v>353</v>
      </c>
      <c r="G153" s="21" t="s">
        <v>79</v>
      </c>
      <c r="H153" s="21" t="s">
        <v>69</v>
      </c>
      <c r="I153" s="21">
        <v>1</v>
      </c>
      <c r="J153" s="233">
        <v>45656</v>
      </c>
      <c r="K153" s="21">
        <v>0</v>
      </c>
      <c r="L153" s="21">
        <v>0</v>
      </c>
      <c r="M153" s="186"/>
      <c r="N153" s="26"/>
      <c r="O153" s="26"/>
      <c r="P153" s="217">
        <v>1005.96</v>
      </c>
      <c r="Q153" s="26"/>
      <c r="R153" s="26"/>
      <c r="S153" s="26"/>
      <c r="T153" s="26"/>
      <c r="U153" s="26"/>
      <c r="V153" s="26"/>
      <c r="W153" s="26"/>
      <c r="X153" s="26"/>
      <c r="Y153" s="26"/>
      <c r="Z153" s="263"/>
      <c r="AA153" s="263"/>
      <c r="AB153" s="263"/>
      <c r="AC153" s="263"/>
      <c r="AD153" s="263"/>
      <c r="AE153" s="263"/>
      <c r="AF153" s="26">
        <f t="shared" si="137"/>
        <v>1005.96</v>
      </c>
      <c r="AG153" s="26">
        <v>0</v>
      </c>
      <c r="AH153" s="26">
        <v>0</v>
      </c>
      <c r="AI153" s="26">
        <v>0</v>
      </c>
    </row>
    <row r="154" spans="1:36" s="11" customFormat="1" ht="45.75" customHeight="1" x14ac:dyDescent="0.25">
      <c r="A154" s="166"/>
      <c r="B154" s="166" t="s">
        <v>339</v>
      </c>
      <c r="C154" s="228" t="s">
        <v>46</v>
      </c>
      <c r="D154" s="20">
        <v>80820</v>
      </c>
      <c r="E154" s="21" t="s">
        <v>107</v>
      </c>
      <c r="F154" s="22" t="s">
        <v>337</v>
      </c>
      <c r="G154" s="21" t="s">
        <v>188</v>
      </c>
      <c r="H154" s="21" t="s">
        <v>38</v>
      </c>
      <c r="I154" s="21">
        <v>1</v>
      </c>
      <c r="J154" s="233">
        <v>45656</v>
      </c>
      <c r="K154" s="21">
        <v>0</v>
      </c>
      <c r="L154" s="21">
        <v>0</v>
      </c>
      <c r="M154" s="186"/>
      <c r="N154" s="26"/>
      <c r="O154" s="26"/>
      <c r="P154" s="217">
        <v>261.33999999999997</v>
      </c>
      <c r="Q154" s="26"/>
      <c r="R154" s="26">
        <v>268.68</v>
      </c>
      <c r="S154" s="26"/>
      <c r="T154" s="26"/>
      <c r="U154" s="26"/>
      <c r="V154" s="26"/>
      <c r="W154" s="26"/>
      <c r="X154" s="26"/>
      <c r="Y154" s="26"/>
      <c r="Z154" s="263"/>
      <c r="AA154" s="263"/>
      <c r="AB154" s="263"/>
      <c r="AC154" s="263"/>
      <c r="AD154" s="263"/>
      <c r="AE154" s="263"/>
      <c r="AF154" s="26">
        <f t="shared" si="137"/>
        <v>530.02</v>
      </c>
      <c r="AG154" s="26">
        <v>0</v>
      </c>
      <c r="AH154" s="26">
        <v>0</v>
      </c>
      <c r="AI154" s="26">
        <v>0</v>
      </c>
    </row>
    <row r="155" spans="1:36" s="53" customFormat="1" ht="51.75" customHeight="1" x14ac:dyDescent="0.2">
      <c r="A155" s="163"/>
      <c r="B155" s="161"/>
      <c r="C155" s="92" t="s">
        <v>46</v>
      </c>
      <c r="D155" s="117"/>
      <c r="E155" s="118" t="s">
        <v>33</v>
      </c>
      <c r="F155" s="119" t="s">
        <v>142</v>
      </c>
      <c r="G155" s="84" t="s">
        <v>33</v>
      </c>
      <c r="H155" s="84" t="s">
        <v>33</v>
      </c>
      <c r="I155" s="118" t="s">
        <v>33</v>
      </c>
      <c r="J155" s="118" t="s">
        <v>33</v>
      </c>
      <c r="K155" s="118" t="s">
        <v>33</v>
      </c>
      <c r="L155" s="118" t="s">
        <v>33</v>
      </c>
      <c r="M155" s="185"/>
      <c r="N155" s="120">
        <f>SUM(N156:N157)</f>
        <v>170</v>
      </c>
      <c r="O155" s="120">
        <f t="shared" ref="O155:AI155" si="138">SUM(O156:O157)</f>
        <v>0</v>
      </c>
      <c r="P155" s="120">
        <f>SUM(P156:P157)</f>
        <v>0</v>
      </c>
      <c r="Q155" s="120">
        <f>SUM(Q156:Q157)</f>
        <v>0</v>
      </c>
      <c r="R155" s="120">
        <f>SUM(R156:R157)</f>
        <v>0</v>
      </c>
      <c r="S155" s="120">
        <f>SUM(S156:S157)</f>
        <v>0</v>
      </c>
      <c r="T155" s="120">
        <f t="shared" ref="T155:AF155" si="139">SUM(T156:T157)</f>
        <v>0</v>
      </c>
      <c r="U155" s="120">
        <f t="shared" si="139"/>
        <v>0</v>
      </c>
      <c r="V155" s="120">
        <f t="shared" si="139"/>
        <v>0</v>
      </c>
      <c r="W155" s="120">
        <f t="shared" si="139"/>
        <v>0</v>
      </c>
      <c r="X155" s="120">
        <f t="shared" si="139"/>
        <v>0</v>
      </c>
      <c r="Y155" s="120">
        <f t="shared" si="139"/>
        <v>0</v>
      </c>
      <c r="Z155" s="268">
        <f t="shared" si="139"/>
        <v>0</v>
      </c>
      <c r="AA155" s="268"/>
      <c r="AB155" s="268">
        <f t="shared" ref="AB155:AC155" si="140">SUM(AB156:AB157)</f>
        <v>0</v>
      </c>
      <c r="AC155" s="268">
        <f t="shared" si="140"/>
        <v>0</v>
      </c>
      <c r="AD155" s="268"/>
      <c r="AE155" s="268"/>
      <c r="AF155" s="120">
        <f t="shared" si="139"/>
        <v>170</v>
      </c>
      <c r="AG155" s="120">
        <f t="shared" ref="AG155" si="141">SUM(AG156:AG157)</f>
        <v>0</v>
      </c>
      <c r="AH155" s="120">
        <f t="shared" si="138"/>
        <v>70</v>
      </c>
      <c r="AI155" s="120">
        <f t="shared" si="138"/>
        <v>70</v>
      </c>
      <c r="AJ155" s="45"/>
    </row>
    <row r="156" spans="1:36" ht="34.5" customHeight="1" x14ac:dyDescent="0.25">
      <c r="B156" s="160" t="s">
        <v>307</v>
      </c>
      <c r="C156" s="15" t="s">
        <v>46</v>
      </c>
      <c r="D156" s="13">
        <v>80820</v>
      </c>
      <c r="E156" s="12" t="s">
        <v>107</v>
      </c>
      <c r="F156" s="3" t="s">
        <v>98</v>
      </c>
      <c r="G156" s="12" t="s">
        <v>74</v>
      </c>
      <c r="H156" s="12" t="s">
        <v>38</v>
      </c>
      <c r="I156" s="12">
        <v>2</v>
      </c>
      <c r="J156" s="30">
        <v>45656</v>
      </c>
      <c r="K156" s="12">
        <v>2</v>
      </c>
      <c r="L156" s="12">
        <v>2</v>
      </c>
      <c r="M156" s="174"/>
      <c r="N156" s="24">
        <v>70</v>
      </c>
      <c r="O156" s="24">
        <v>0</v>
      </c>
      <c r="P156" s="31"/>
      <c r="Q156" s="24"/>
      <c r="R156" s="24"/>
      <c r="S156" s="24"/>
      <c r="T156" s="24"/>
      <c r="U156" s="31">
        <v>100</v>
      </c>
      <c r="V156" s="24"/>
      <c r="W156" s="24"/>
      <c r="X156" s="24"/>
      <c r="Y156" s="24"/>
      <c r="Z156" s="258"/>
      <c r="AA156" s="258"/>
      <c r="AB156" s="258"/>
      <c r="AC156" s="258"/>
      <c r="AD156" s="258"/>
      <c r="AE156" s="258"/>
      <c r="AF156" s="25">
        <f>SUM(N156:AC156)-O156</f>
        <v>170</v>
      </c>
      <c r="AG156" s="24">
        <v>0</v>
      </c>
      <c r="AH156" s="24">
        <v>70</v>
      </c>
      <c r="AI156" s="24">
        <v>70</v>
      </c>
    </row>
    <row r="157" spans="1:36" ht="32.25" customHeight="1" x14ac:dyDescent="0.25">
      <c r="B157" s="160" t="s">
        <v>308</v>
      </c>
      <c r="C157" s="15" t="s">
        <v>46</v>
      </c>
      <c r="D157" s="13">
        <v>80820</v>
      </c>
      <c r="E157" s="12" t="s">
        <v>107</v>
      </c>
      <c r="F157" s="3" t="s">
        <v>64</v>
      </c>
      <c r="G157" s="12" t="s">
        <v>74</v>
      </c>
      <c r="H157" s="12" t="s">
        <v>38</v>
      </c>
      <c r="I157" s="12">
        <v>0</v>
      </c>
      <c r="J157" s="30"/>
      <c r="K157" s="12">
        <v>0</v>
      </c>
      <c r="L157" s="12">
        <v>0</v>
      </c>
      <c r="M157" s="174"/>
      <c r="N157" s="24">
        <v>100</v>
      </c>
      <c r="O157" s="24">
        <v>0</v>
      </c>
      <c r="P157" s="31"/>
      <c r="Q157" s="24"/>
      <c r="R157" s="24"/>
      <c r="S157" s="24"/>
      <c r="T157" s="24"/>
      <c r="U157" s="31">
        <v>-100</v>
      </c>
      <c r="V157" s="24"/>
      <c r="W157" s="24"/>
      <c r="X157" s="24"/>
      <c r="Y157" s="24"/>
      <c r="Z157" s="258"/>
      <c r="AA157" s="258"/>
      <c r="AB157" s="258"/>
      <c r="AC157" s="258"/>
      <c r="AD157" s="258"/>
      <c r="AE157" s="258"/>
      <c r="AF157" s="25">
        <f>SUM(N157:AC157)-O157</f>
        <v>0</v>
      </c>
      <c r="AG157" s="24">
        <v>0</v>
      </c>
      <c r="AH157" s="24">
        <v>0</v>
      </c>
      <c r="AI157" s="24">
        <v>0</v>
      </c>
    </row>
    <row r="158" spans="1:36" ht="35.25" customHeight="1" x14ac:dyDescent="0.25">
      <c r="C158" s="148" t="s">
        <v>46</v>
      </c>
      <c r="D158" s="144"/>
      <c r="E158" s="145" t="s">
        <v>33</v>
      </c>
      <c r="F158" s="146" t="s">
        <v>243</v>
      </c>
      <c r="G158" s="145" t="s">
        <v>33</v>
      </c>
      <c r="H158" s="145" t="s">
        <v>33</v>
      </c>
      <c r="I158" s="156" t="s">
        <v>33</v>
      </c>
      <c r="J158" s="156" t="s">
        <v>33</v>
      </c>
      <c r="K158" s="156" t="s">
        <v>33</v>
      </c>
      <c r="L158" s="156" t="s">
        <v>33</v>
      </c>
      <c r="M158" s="190"/>
      <c r="N158" s="147">
        <f>N159+N167</f>
        <v>2070.67</v>
      </c>
      <c r="O158" s="147">
        <f t="shared" ref="O158:AI158" si="142">O159+O167</f>
        <v>0</v>
      </c>
      <c r="P158" s="147">
        <f>P159+P167</f>
        <v>0</v>
      </c>
      <c r="Q158" s="147">
        <f>Q159+Q167</f>
        <v>0</v>
      </c>
      <c r="R158" s="147">
        <f>R159+R167</f>
        <v>260</v>
      </c>
      <c r="S158" s="147">
        <f>S159+S167</f>
        <v>0</v>
      </c>
      <c r="T158" s="147">
        <f t="shared" ref="T158:AF158" si="143">T159+T167</f>
        <v>0</v>
      </c>
      <c r="U158" s="147">
        <f t="shared" si="143"/>
        <v>0</v>
      </c>
      <c r="V158" s="147">
        <f t="shared" si="143"/>
        <v>0</v>
      </c>
      <c r="W158" s="147">
        <f t="shared" si="143"/>
        <v>0</v>
      </c>
      <c r="X158" s="147">
        <f t="shared" si="143"/>
        <v>0</v>
      </c>
      <c r="Y158" s="147">
        <f t="shared" si="143"/>
        <v>0</v>
      </c>
      <c r="Z158" s="267">
        <f t="shared" si="143"/>
        <v>0</v>
      </c>
      <c r="AA158" s="267"/>
      <c r="AB158" s="267">
        <f t="shared" ref="AB158:AC158" si="144">AB159+AB167</f>
        <v>373.9</v>
      </c>
      <c r="AC158" s="267">
        <f t="shared" si="144"/>
        <v>0</v>
      </c>
      <c r="AD158" s="267"/>
      <c r="AE158" s="267"/>
      <c r="AF158" s="147">
        <f t="shared" si="143"/>
        <v>2704.57</v>
      </c>
      <c r="AG158" s="147">
        <f t="shared" ref="AG158" si="145">AG159+AG167</f>
        <v>0</v>
      </c>
      <c r="AH158" s="147">
        <f t="shared" si="142"/>
        <v>2940.31</v>
      </c>
      <c r="AI158" s="147">
        <f t="shared" si="142"/>
        <v>2941.3799999999997</v>
      </c>
    </row>
    <row r="159" spans="1:36" ht="30.75" customHeight="1" x14ac:dyDescent="0.25">
      <c r="A159" s="162"/>
      <c r="C159" s="92" t="s">
        <v>46</v>
      </c>
      <c r="D159" s="93"/>
      <c r="E159" s="84" t="s">
        <v>33</v>
      </c>
      <c r="F159" s="85" t="s">
        <v>198</v>
      </c>
      <c r="G159" s="84" t="s">
        <v>33</v>
      </c>
      <c r="H159" s="84" t="s">
        <v>33</v>
      </c>
      <c r="I159" s="84" t="s">
        <v>33</v>
      </c>
      <c r="J159" s="94" t="s">
        <v>33</v>
      </c>
      <c r="K159" s="84" t="s">
        <v>33</v>
      </c>
      <c r="L159" s="84" t="s">
        <v>33</v>
      </c>
      <c r="M159" s="181"/>
      <c r="N159" s="87">
        <f>SUM(N160:N165)</f>
        <v>1870.15</v>
      </c>
      <c r="O159" s="87">
        <f t="shared" ref="O159:AI159" si="146">SUM(O160:O165)</f>
        <v>0</v>
      </c>
      <c r="P159" s="120">
        <f>SUM(P160:P165)</f>
        <v>0</v>
      </c>
      <c r="Q159" s="87">
        <f>SUM(Q160:Q165)</f>
        <v>0</v>
      </c>
      <c r="R159" s="87">
        <f>SUM(R160:R165)</f>
        <v>0</v>
      </c>
      <c r="S159" s="87">
        <f>SUM(S160:S165)</f>
        <v>0</v>
      </c>
      <c r="T159" s="87">
        <f t="shared" ref="T159:Z159" si="147">SUM(T160:T165)</f>
        <v>0</v>
      </c>
      <c r="U159" s="87">
        <f t="shared" si="147"/>
        <v>0</v>
      </c>
      <c r="V159" s="87">
        <f t="shared" si="147"/>
        <v>0</v>
      </c>
      <c r="W159" s="87">
        <f t="shared" si="147"/>
        <v>0</v>
      </c>
      <c r="X159" s="87">
        <f t="shared" si="147"/>
        <v>0</v>
      </c>
      <c r="Y159" s="87">
        <f t="shared" si="147"/>
        <v>0</v>
      </c>
      <c r="Z159" s="257">
        <f t="shared" si="147"/>
        <v>0</v>
      </c>
      <c r="AA159" s="257"/>
      <c r="AB159" s="257">
        <f>SUM(AB160:AB166)</f>
        <v>373.9</v>
      </c>
      <c r="AC159" s="257">
        <f t="shared" ref="AC159" si="148">SUM(AC160:AC165)</f>
        <v>0</v>
      </c>
      <c r="AD159" s="257"/>
      <c r="AE159" s="257"/>
      <c r="AF159" s="87">
        <f>SUM(AF160:AF166)</f>
        <v>2244.0500000000002</v>
      </c>
      <c r="AG159" s="87">
        <f t="shared" ref="AG159" si="149">SUM(AG160:AG165)</f>
        <v>0</v>
      </c>
      <c r="AH159" s="87">
        <f>SUM(AH160:AH165)</f>
        <v>2739.79</v>
      </c>
      <c r="AI159" s="87">
        <f t="shared" si="146"/>
        <v>2740.8599999999997</v>
      </c>
    </row>
    <row r="160" spans="1:36" s="11" customFormat="1" ht="45" x14ac:dyDescent="0.25">
      <c r="A160" s="166"/>
      <c r="B160" s="160" t="s">
        <v>309</v>
      </c>
      <c r="C160" s="29" t="s">
        <v>46</v>
      </c>
      <c r="D160" s="20">
        <v>80830</v>
      </c>
      <c r="E160" s="21" t="s">
        <v>107</v>
      </c>
      <c r="F160" s="22" t="s">
        <v>199</v>
      </c>
      <c r="G160" s="21" t="s">
        <v>68</v>
      </c>
      <c r="H160" s="21" t="s">
        <v>69</v>
      </c>
      <c r="I160" s="21">
        <v>2</v>
      </c>
      <c r="J160" s="30">
        <v>45656</v>
      </c>
      <c r="K160" s="21">
        <v>2</v>
      </c>
      <c r="L160" s="21">
        <v>2</v>
      </c>
      <c r="M160" s="186"/>
      <c r="N160" s="24">
        <v>160</v>
      </c>
      <c r="O160" s="24">
        <v>0</v>
      </c>
      <c r="P160" s="31"/>
      <c r="Q160" s="24"/>
      <c r="R160" s="24"/>
      <c r="S160" s="24"/>
      <c r="T160" s="24"/>
      <c r="U160" s="24"/>
      <c r="V160" s="24"/>
      <c r="W160" s="24"/>
      <c r="X160" s="24"/>
      <c r="Y160" s="24"/>
      <c r="Z160" s="258"/>
      <c r="AA160" s="258"/>
      <c r="AB160" s="258"/>
      <c r="AC160" s="258"/>
      <c r="AD160" s="258"/>
      <c r="AE160" s="258"/>
      <c r="AF160" s="25">
        <f t="shared" ref="AF160:AF166" si="150">SUM(N160:AC160)-O160</f>
        <v>160</v>
      </c>
      <c r="AG160" s="24">
        <v>0</v>
      </c>
      <c r="AH160" s="24">
        <v>160</v>
      </c>
      <c r="AI160" s="24">
        <v>160</v>
      </c>
    </row>
    <row r="161" spans="1:36" s="11" customFormat="1" ht="45" x14ac:dyDescent="0.25">
      <c r="A161" s="166"/>
      <c r="B161" s="160" t="s">
        <v>310</v>
      </c>
      <c r="C161" s="29" t="s">
        <v>46</v>
      </c>
      <c r="D161" s="20">
        <v>80830</v>
      </c>
      <c r="E161" s="21" t="s">
        <v>107</v>
      </c>
      <c r="F161" s="22" t="s">
        <v>200</v>
      </c>
      <c r="G161" s="21" t="s">
        <v>70</v>
      </c>
      <c r="H161" s="21" t="s">
        <v>71</v>
      </c>
      <c r="I161" s="21">
        <v>910</v>
      </c>
      <c r="J161" s="30">
        <v>45656</v>
      </c>
      <c r="K161" s="21">
        <v>910</v>
      </c>
      <c r="L161" s="21">
        <v>910</v>
      </c>
      <c r="M161" s="186"/>
      <c r="N161" s="24">
        <v>26.46</v>
      </c>
      <c r="O161" s="24">
        <v>0</v>
      </c>
      <c r="P161" s="31"/>
      <c r="Q161" s="24"/>
      <c r="R161" s="24"/>
      <c r="S161" s="24"/>
      <c r="T161" s="24"/>
      <c r="U161" s="24"/>
      <c r="V161" s="24"/>
      <c r="W161" s="24"/>
      <c r="X161" s="24"/>
      <c r="Y161" s="24"/>
      <c r="Z161" s="258"/>
      <c r="AA161" s="258"/>
      <c r="AB161" s="258"/>
      <c r="AC161" s="258"/>
      <c r="AD161" s="258"/>
      <c r="AE161" s="258"/>
      <c r="AF161" s="25">
        <f t="shared" si="150"/>
        <v>26.46</v>
      </c>
      <c r="AG161" s="24">
        <v>0</v>
      </c>
      <c r="AH161" s="24">
        <v>27.5</v>
      </c>
      <c r="AI161" s="24">
        <v>28.57</v>
      </c>
    </row>
    <row r="162" spans="1:36" s="11" customFormat="1" ht="30" x14ac:dyDescent="0.25">
      <c r="A162" s="166"/>
      <c r="B162" s="160" t="s">
        <v>311</v>
      </c>
      <c r="C162" s="29" t="s">
        <v>46</v>
      </c>
      <c r="D162" s="20">
        <v>80830</v>
      </c>
      <c r="E162" s="21" t="s">
        <v>82</v>
      </c>
      <c r="F162" s="22" t="s">
        <v>253</v>
      </c>
      <c r="G162" s="21" t="s">
        <v>72</v>
      </c>
      <c r="H162" s="21" t="s">
        <v>40</v>
      </c>
      <c r="I162" s="76">
        <v>11500</v>
      </c>
      <c r="J162" s="30">
        <v>45656</v>
      </c>
      <c r="K162" s="230">
        <v>26500</v>
      </c>
      <c r="L162" s="230">
        <f>K162</f>
        <v>26500</v>
      </c>
      <c r="M162" s="186"/>
      <c r="N162" s="24">
        <v>848.52</v>
      </c>
      <c r="O162" s="24">
        <v>0</v>
      </c>
      <c r="P162" s="31"/>
      <c r="Q162" s="24"/>
      <c r="R162" s="24"/>
      <c r="S162" s="24"/>
      <c r="T162" s="24"/>
      <c r="U162" s="24"/>
      <c r="V162" s="24"/>
      <c r="W162" s="24"/>
      <c r="X162" s="24"/>
      <c r="Y162" s="24"/>
      <c r="Z162" s="258"/>
      <c r="AA162" s="258"/>
      <c r="AB162" s="258"/>
      <c r="AC162" s="258"/>
      <c r="AD162" s="258"/>
      <c r="AE162" s="258"/>
      <c r="AF162" s="25">
        <f t="shared" si="150"/>
        <v>848.52</v>
      </c>
      <c r="AG162" s="24">
        <v>0</v>
      </c>
      <c r="AH162" s="24">
        <v>1717.12</v>
      </c>
      <c r="AI162" s="24">
        <f>AH162</f>
        <v>1717.12</v>
      </c>
    </row>
    <row r="163" spans="1:36" s="5" customFormat="1" ht="30" x14ac:dyDescent="0.25">
      <c r="A163" s="160"/>
      <c r="B163" s="160" t="s">
        <v>312</v>
      </c>
      <c r="C163" s="29" t="s">
        <v>46</v>
      </c>
      <c r="D163" s="13">
        <v>80830</v>
      </c>
      <c r="E163" s="12" t="s">
        <v>87</v>
      </c>
      <c r="F163" s="3" t="s">
        <v>63</v>
      </c>
      <c r="G163" s="12" t="s">
        <v>78</v>
      </c>
      <c r="H163" s="12" t="s">
        <v>69</v>
      </c>
      <c r="I163" s="12">
        <v>2</v>
      </c>
      <c r="J163" s="30">
        <v>45656</v>
      </c>
      <c r="K163" s="12">
        <v>2</v>
      </c>
      <c r="L163" s="12">
        <v>2</v>
      </c>
      <c r="M163" s="174"/>
      <c r="N163" s="24">
        <v>50</v>
      </c>
      <c r="O163" s="24">
        <v>0</v>
      </c>
      <c r="P163" s="31"/>
      <c r="Q163" s="24"/>
      <c r="R163" s="24"/>
      <c r="S163" s="24"/>
      <c r="T163" s="24"/>
      <c r="U163" s="24"/>
      <c r="V163" s="24"/>
      <c r="W163" s="24"/>
      <c r="X163" s="24"/>
      <c r="Y163" s="24"/>
      <c r="Z163" s="258"/>
      <c r="AA163" s="258"/>
      <c r="AB163" s="258"/>
      <c r="AC163" s="258"/>
      <c r="AD163" s="258"/>
      <c r="AE163" s="258"/>
      <c r="AF163" s="25">
        <f t="shared" si="150"/>
        <v>50</v>
      </c>
      <c r="AG163" s="24">
        <v>0</v>
      </c>
      <c r="AH163" s="24">
        <v>50</v>
      </c>
      <c r="AI163" s="24">
        <v>50</v>
      </c>
    </row>
    <row r="164" spans="1:36" ht="30" x14ac:dyDescent="0.25">
      <c r="B164" s="160" t="s">
        <v>313</v>
      </c>
      <c r="C164" s="29" t="s">
        <v>46</v>
      </c>
      <c r="D164" s="13">
        <v>80830</v>
      </c>
      <c r="E164" s="12" t="s">
        <v>107</v>
      </c>
      <c r="F164" s="3" t="s">
        <v>58</v>
      </c>
      <c r="G164" s="12" t="s">
        <v>79</v>
      </c>
      <c r="H164" s="12" t="s">
        <v>69</v>
      </c>
      <c r="I164" s="12">
        <v>21</v>
      </c>
      <c r="J164" s="30">
        <v>45656</v>
      </c>
      <c r="K164" s="12">
        <v>21</v>
      </c>
      <c r="L164" s="12">
        <v>21</v>
      </c>
      <c r="M164" s="174"/>
      <c r="N164" s="24">
        <v>424.7</v>
      </c>
      <c r="O164" s="24">
        <v>0</v>
      </c>
      <c r="P164" s="31"/>
      <c r="Q164" s="24"/>
      <c r="R164" s="24"/>
      <c r="S164" s="24"/>
      <c r="T164" s="24"/>
      <c r="U164" s="24"/>
      <c r="V164" s="24"/>
      <c r="W164" s="24"/>
      <c r="X164" s="24"/>
      <c r="Y164" s="24"/>
      <c r="Z164" s="258"/>
      <c r="AA164" s="258"/>
      <c r="AB164" s="258"/>
      <c r="AC164" s="258"/>
      <c r="AD164" s="258"/>
      <c r="AE164" s="258"/>
      <c r="AF164" s="25">
        <f t="shared" si="150"/>
        <v>424.7</v>
      </c>
      <c r="AG164" s="24">
        <v>0</v>
      </c>
      <c r="AH164" s="24">
        <v>424.7</v>
      </c>
      <c r="AI164" s="24">
        <v>424.7</v>
      </c>
    </row>
    <row r="165" spans="1:36" ht="36.75" customHeight="1" x14ac:dyDescent="0.25">
      <c r="A165" s="162"/>
      <c r="B165" s="160" t="s">
        <v>314</v>
      </c>
      <c r="C165" s="29" t="s">
        <v>46</v>
      </c>
      <c r="D165" s="17">
        <v>80830</v>
      </c>
      <c r="E165" s="17" t="s">
        <v>107</v>
      </c>
      <c r="F165" s="18" t="s">
        <v>133</v>
      </c>
      <c r="G165" s="17" t="s">
        <v>146</v>
      </c>
      <c r="H165" s="279" t="s">
        <v>40</v>
      </c>
      <c r="I165" s="279">
        <v>263100</v>
      </c>
      <c r="J165" s="280">
        <v>45656</v>
      </c>
      <c r="K165" s="279">
        <v>263100</v>
      </c>
      <c r="L165" s="279">
        <v>263100</v>
      </c>
      <c r="M165" s="180"/>
      <c r="N165" s="281">
        <v>360.47</v>
      </c>
      <c r="O165" s="281">
        <v>0</v>
      </c>
      <c r="P165" s="282"/>
      <c r="Q165" s="281"/>
      <c r="R165" s="281"/>
      <c r="S165" s="281"/>
      <c r="T165" s="281"/>
      <c r="U165" s="281"/>
      <c r="V165" s="281"/>
      <c r="W165" s="281"/>
      <c r="X165" s="281"/>
      <c r="Y165" s="281"/>
      <c r="Z165" s="283"/>
      <c r="AA165" s="283"/>
      <c r="AB165" s="283"/>
      <c r="AC165" s="283"/>
      <c r="AD165" s="283"/>
      <c r="AE165" s="283"/>
      <c r="AF165" s="284">
        <f t="shared" si="150"/>
        <v>360.47</v>
      </c>
      <c r="AG165" s="281">
        <v>0</v>
      </c>
      <c r="AH165" s="24">
        <v>360.47</v>
      </c>
      <c r="AI165" s="24">
        <v>360.47</v>
      </c>
    </row>
    <row r="166" spans="1:36" ht="59.25" customHeight="1" x14ac:dyDescent="0.25">
      <c r="A166" s="162"/>
      <c r="B166" s="160" t="s">
        <v>455</v>
      </c>
      <c r="C166" s="29" t="s">
        <v>46</v>
      </c>
      <c r="D166" s="17">
        <v>80830</v>
      </c>
      <c r="E166" s="17" t="s">
        <v>453</v>
      </c>
      <c r="F166" s="18" t="s">
        <v>454</v>
      </c>
      <c r="G166" s="21" t="s">
        <v>460</v>
      </c>
      <c r="H166" s="17" t="s">
        <v>40</v>
      </c>
      <c r="I166" s="17">
        <v>8383</v>
      </c>
      <c r="J166" s="35">
        <v>45656</v>
      </c>
      <c r="K166" s="17"/>
      <c r="L166" s="17"/>
      <c r="M166" s="17"/>
      <c r="N166" s="24"/>
      <c r="O166" s="24"/>
      <c r="P166" s="31"/>
      <c r="Q166" s="24"/>
      <c r="R166" s="24"/>
      <c r="S166" s="24"/>
      <c r="T166" s="24"/>
      <c r="U166" s="24"/>
      <c r="V166" s="24"/>
      <c r="W166" s="24"/>
      <c r="X166" s="24"/>
      <c r="Y166" s="24"/>
      <c r="Z166" s="258"/>
      <c r="AA166" s="258"/>
      <c r="AB166" s="258">
        <v>373.9</v>
      </c>
      <c r="AC166" s="258"/>
      <c r="AD166" s="258"/>
      <c r="AE166" s="258"/>
      <c r="AF166" s="25">
        <f t="shared" si="150"/>
        <v>373.9</v>
      </c>
      <c r="AG166" s="24">
        <v>0</v>
      </c>
      <c r="AH166" s="24">
        <v>0</v>
      </c>
      <c r="AI166" s="24">
        <v>0</v>
      </c>
    </row>
    <row r="167" spans="1:36" s="11" customFormat="1" ht="28.5" x14ac:dyDescent="0.25">
      <c r="A167" s="166"/>
      <c r="B167" s="160"/>
      <c r="C167" s="115" t="s">
        <v>46</v>
      </c>
      <c r="D167" s="93"/>
      <c r="E167" s="84" t="s">
        <v>33</v>
      </c>
      <c r="F167" s="85" t="s">
        <v>201</v>
      </c>
      <c r="G167" s="84" t="s">
        <v>33</v>
      </c>
      <c r="H167" s="285" t="s">
        <v>33</v>
      </c>
      <c r="I167" s="116" t="s">
        <v>33</v>
      </c>
      <c r="J167" s="286" t="s">
        <v>33</v>
      </c>
      <c r="K167" s="285" t="s">
        <v>33</v>
      </c>
      <c r="L167" s="285" t="s">
        <v>33</v>
      </c>
      <c r="M167" s="181"/>
      <c r="N167" s="287">
        <f>SUM(N168:N171)</f>
        <v>200.51999999999998</v>
      </c>
      <c r="O167" s="287">
        <f t="shared" ref="O167:AI167" si="151">SUM(O168:O171)</f>
        <v>0</v>
      </c>
      <c r="P167" s="288">
        <f>SUM(P168:P171)</f>
        <v>0</v>
      </c>
      <c r="Q167" s="287">
        <f>SUM(Q168:Q171)</f>
        <v>0</v>
      </c>
      <c r="R167" s="287">
        <f>SUM(R168:R171)</f>
        <v>260</v>
      </c>
      <c r="S167" s="287">
        <f>SUM(S168:S171)</f>
        <v>0</v>
      </c>
      <c r="T167" s="287">
        <f t="shared" ref="T167:AF167" si="152">SUM(T168:T171)</f>
        <v>0</v>
      </c>
      <c r="U167" s="287">
        <f t="shared" si="152"/>
        <v>0</v>
      </c>
      <c r="V167" s="287">
        <f t="shared" si="152"/>
        <v>0</v>
      </c>
      <c r="W167" s="287">
        <f t="shared" si="152"/>
        <v>0</v>
      </c>
      <c r="X167" s="287">
        <f t="shared" si="152"/>
        <v>0</v>
      </c>
      <c r="Y167" s="287">
        <f t="shared" si="152"/>
        <v>0</v>
      </c>
      <c r="Z167" s="289">
        <f t="shared" si="152"/>
        <v>0</v>
      </c>
      <c r="AA167" s="289"/>
      <c r="AB167" s="289">
        <f t="shared" ref="AB167:AC167" si="153">SUM(AB168:AB171)</f>
        <v>0</v>
      </c>
      <c r="AC167" s="289">
        <f t="shared" si="153"/>
        <v>0</v>
      </c>
      <c r="AD167" s="289"/>
      <c r="AE167" s="289"/>
      <c r="AF167" s="287">
        <f t="shared" si="152"/>
        <v>460.52</v>
      </c>
      <c r="AG167" s="287">
        <f t="shared" ref="AG167" si="154">SUM(AG168:AG171)</f>
        <v>0</v>
      </c>
      <c r="AH167" s="87">
        <f t="shared" si="151"/>
        <v>200.51999999999998</v>
      </c>
      <c r="AI167" s="87">
        <f t="shared" si="151"/>
        <v>200.51999999999998</v>
      </c>
    </row>
    <row r="168" spans="1:36" s="11" customFormat="1" ht="30" x14ac:dyDescent="0.25">
      <c r="A168" s="166"/>
      <c r="B168" s="160" t="s">
        <v>315</v>
      </c>
      <c r="C168" s="29" t="s">
        <v>46</v>
      </c>
      <c r="D168" s="20">
        <v>80830</v>
      </c>
      <c r="E168" s="21" t="s">
        <v>107</v>
      </c>
      <c r="F168" s="22" t="s">
        <v>155</v>
      </c>
      <c r="G168" s="21" t="s">
        <v>70</v>
      </c>
      <c r="H168" s="21" t="s">
        <v>71</v>
      </c>
      <c r="I168" s="21">
        <v>682</v>
      </c>
      <c r="J168" s="30">
        <v>45656</v>
      </c>
      <c r="K168" s="21">
        <v>682</v>
      </c>
      <c r="L168" s="21">
        <v>682</v>
      </c>
      <c r="M168" s="186"/>
      <c r="N168" s="24">
        <v>40.82</v>
      </c>
      <c r="O168" s="24">
        <v>0</v>
      </c>
      <c r="P168" s="31"/>
      <c r="Q168" s="24"/>
      <c r="R168" s="24"/>
      <c r="S168" s="24"/>
      <c r="T168" s="24"/>
      <c r="U168" s="24"/>
      <c r="V168" s="24"/>
      <c r="W168" s="24"/>
      <c r="X168" s="24"/>
      <c r="Y168" s="24"/>
      <c r="Z168" s="258"/>
      <c r="AA168" s="258"/>
      <c r="AB168" s="258"/>
      <c r="AC168" s="258"/>
      <c r="AD168" s="258"/>
      <c r="AE168" s="258"/>
      <c r="AF168" s="25">
        <f>SUM(N168:AC168)-O168</f>
        <v>40.82</v>
      </c>
      <c r="AG168" s="24">
        <v>0</v>
      </c>
      <c r="AH168" s="24">
        <v>40.82</v>
      </c>
      <c r="AI168" s="24">
        <v>40.82</v>
      </c>
    </row>
    <row r="169" spans="1:36" s="11" customFormat="1" ht="45" x14ac:dyDescent="0.25">
      <c r="A169" s="166"/>
      <c r="B169" s="160" t="s">
        <v>316</v>
      </c>
      <c r="C169" s="29" t="s">
        <v>46</v>
      </c>
      <c r="D169" s="20">
        <v>80830</v>
      </c>
      <c r="E169" s="21" t="s">
        <v>107</v>
      </c>
      <c r="F169" s="22" t="s">
        <v>65</v>
      </c>
      <c r="G169" s="21" t="s">
        <v>73</v>
      </c>
      <c r="H169" s="21" t="s">
        <v>69</v>
      </c>
      <c r="I169" s="21">
        <v>1</v>
      </c>
      <c r="J169" s="30">
        <v>45656</v>
      </c>
      <c r="K169" s="21">
        <v>1</v>
      </c>
      <c r="L169" s="21">
        <v>1</v>
      </c>
      <c r="M169" s="186"/>
      <c r="N169" s="24">
        <v>99</v>
      </c>
      <c r="O169" s="24">
        <v>0</v>
      </c>
      <c r="P169" s="31"/>
      <c r="Q169" s="24"/>
      <c r="R169" s="24"/>
      <c r="S169" s="24"/>
      <c r="T169" s="24"/>
      <c r="U169" s="24"/>
      <c r="V169" s="24"/>
      <c r="W169" s="24"/>
      <c r="X169" s="24"/>
      <c r="Y169" s="24"/>
      <c r="Z169" s="258"/>
      <c r="AA169" s="258"/>
      <c r="AB169" s="258"/>
      <c r="AC169" s="258"/>
      <c r="AD169" s="258"/>
      <c r="AE169" s="258"/>
      <c r="AF169" s="25">
        <f>SUM(N169:AC169)-O169</f>
        <v>99</v>
      </c>
      <c r="AG169" s="24">
        <v>0</v>
      </c>
      <c r="AH169" s="24">
        <v>99</v>
      </c>
      <c r="AI169" s="24">
        <v>99</v>
      </c>
    </row>
    <row r="170" spans="1:36" s="11" customFormat="1" ht="75" x14ac:dyDescent="0.25">
      <c r="A170" s="166"/>
      <c r="B170" s="166" t="s">
        <v>317</v>
      </c>
      <c r="C170" s="234" t="s">
        <v>46</v>
      </c>
      <c r="D170" s="20">
        <v>80830</v>
      </c>
      <c r="E170" s="21" t="s">
        <v>107</v>
      </c>
      <c r="F170" s="22" t="s">
        <v>384</v>
      </c>
      <c r="G170" s="21" t="s">
        <v>74</v>
      </c>
      <c r="H170" s="21" t="s">
        <v>69</v>
      </c>
      <c r="I170" s="21">
        <v>1</v>
      </c>
      <c r="J170" s="233">
        <v>45656</v>
      </c>
      <c r="K170" s="21">
        <v>0</v>
      </c>
      <c r="L170" s="21">
        <v>0</v>
      </c>
      <c r="M170" s="186"/>
      <c r="N170" s="26">
        <v>0</v>
      </c>
      <c r="O170" s="26">
        <v>0</v>
      </c>
      <c r="P170" s="217"/>
      <c r="Q170" s="26"/>
      <c r="R170" s="26">
        <v>260</v>
      </c>
      <c r="S170" s="26"/>
      <c r="T170" s="26"/>
      <c r="U170" s="26"/>
      <c r="V170" s="26"/>
      <c r="W170" s="26"/>
      <c r="X170" s="26"/>
      <c r="Y170" s="26"/>
      <c r="Z170" s="263"/>
      <c r="AA170" s="263"/>
      <c r="AB170" s="263"/>
      <c r="AC170" s="263"/>
      <c r="AD170" s="263"/>
      <c r="AE170" s="263"/>
      <c r="AF170" s="26">
        <f>SUM(N170:AC170)-O170</f>
        <v>260</v>
      </c>
      <c r="AG170" s="26">
        <v>0</v>
      </c>
      <c r="AH170" s="26">
        <f>N170</f>
        <v>0</v>
      </c>
      <c r="AI170" s="26">
        <f>AH170</f>
        <v>0</v>
      </c>
    </row>
    <row r="171" spans="1:36" s="11" customFormat="1" ht="30" x14ac:dyDescent="0.25">
      <c r="A171" s="166"/>
      <c r="B171" s="160" t="s">
        <v>318</v>
      </c>
      <c r="C171" s="29" t="s">
        <v>46</v>
      </c>
      <c r="D171" s="20">
        <v>80830</v>
      </c>
      <c r="E171" s="21" t="s">
        <v>107</v>
      </c>
      <c r="F171" s="22" t="s">
        <v>144</v>
      </c>
      <c r="G171" s="21" t="s">
        <v>74</v>
      </c>
      <c r="H171" s="21" t="s">
        <v>69</v>
      </c>
      <c r="I171" s="21">
        <v>3</v>
      </c>
      <c r="J171" s="30">
        <v>45656</v>
      </c>
      <c r="K171" s="21">
        <v>3</v>
      </c>
      <c r="L171" s="21">
        <v>3</v>
      </c>
      <c r="M171" s="186"/>
      <c r="N171" s="26">
        <v>60.7</v>
      </c>
      <c r="O171" s="26">
        <v>0</v>
      </c>
      <c r="P171" s="217"/>
      <c r="Q171" s="26"/>
      <c r="R171" s="26"/>
      <c r="S171" s="26"/>
      <c r="T171" s="26"/>
      <c r="U171" s="26"/>
      <c r="V171" s="26"/>
      <c r="W171" s="26"/>
      <c r="X171" s="26"/>
      <c r="Y171" s="26"/>
      <c r="Z171" s="263"/>
      <c r="AA171" s="263"/>
      <c r="AB171" s="263"/>
      <c r="AC171" s="263"/>
      <c r="AD171" s="263"/>
      <c r="AE171" s="263"/>
      <c r="AF171" s="25">
        <f>SUM(N171:AC171)-O171</f>
        <v>60.7</v>
      </c>
      <c r="AG171" s="26">
        <v>0</v>
      </c>
      <c r="AH171" s="26">
        <v>60.7</v>
      </c>
      <c r="AI171" s="26">
        <v>60.7</v>
      </c>
    </row>
    <row r="172" spans="1:36" s="53" customFormat="1" ht="36" customHeight="1" x14ac:dyDescent="0.2">
      <c r="A172" s="163"/>
      <c r="B172" s="161"/>
      <c r="C172" s="95" t="s">
        <v>56</v>
      </c>
      <c r="D172" s="114" t="s">
        <v>33</v>
      </c>
      <c r="E172" s="79" t="s">
        <v>33</v>
      </c>
      <c r="F172" s="121" t="s">
        <v>161</v>
      </c>
      <c r="G172" s="78" t="s">
        <v>211</v>
      </c>
      <c r="H172" s="78" t="s">
        <v>38</v>
      </c>
      <c r="I172" s="79">
        <v>2</v>
      </c>
      <c r="J172" s="79" t="s">
        <v>33</v>
      </c>
      <c r="K172" s="79">
        <v>2</v>
      </c>
      <c r="L172" s="79">
        <v>2</v>
      </c>
      <c r="M172" s="192"/>
      <c r="N172" s="82">
        <f>N175+N178+N183</f>
        <v>3158.38</v>
      </c>
      <c r="O172" s="82">
        <f t="shared" ref="O172:AI172" si="155">O175+O178+O183</f>
        <v>0</v>
      </c>
      <c r="P172" s="82">
        <f>P175+P178+P183</f>
        <v>480</v>
      </c>
      <c r="Q172" s="82">
        <f>Q175+Q178+Q183</f>
        <v>0</v>
      </c>
      <c r="R172" s="82">
        <f>R175+R178+R183</f>
        <v>0</v>
      </c>
      <c r="S172" s="82">
        <f>S175+S178+S183</f>
        <v>0</v>
      </c>
      <c r="T172" s="82">
        <f t="shared" ref="T172:AF172" si="156">T175+T178+T183</f>
        <v>0</v>
      </c>
      <c r="U172" s="82">
        <f t="shared" si="156"/>
        <v>0</v>
      </c>
      <c r="V172" s="82">
        <f t="shared" si="156"/>
        <v>0</v>
      </c>
      <c r="W172" s="82">
        <f t="shared" si="156"/>
        <v>0</v>
      </c>
      <c r="X172" s="82">
        <f t="shared" si="156"/>
        <v>2402.84</v>
      </c>
      <c r="Y172" s="82">
        <f t="shared" si="156"/>
        <v>0</v>
      </c>
      <c r="Z172" s="255">
        <f t="shared" si="156"/>
        <v>0</v>
      </c>
      <c r="AA172" s="255"/>
      <c r="AB172" s="255">
        <f t="shared" ref="AB172:AC172" si="157">AB175+AB178+AB183</f>
        <v>0</v>
      </c>
      <c r="AC172" s="255">
        <f t="shared" si="157"/>
        <v>0</v>
      </c>
      <c r="AD172" s="255"/>
      <c r="AE172" s="255"/>
      <c r="AF172" s="82">
        <f t="shared" si="156"/>
        <v>6041.22</v>
      </c>
      <c r="AG172" s="82">
        <f t="shared" ref="AG172" si="158">AG175+AG178+AG183</f>
        <v>0</v>
      </c>
      <c r="AH172" s="82">
        <f t="shared" si="155"/>
        <v>3103.9</v>
      </c>
      <c r="AI172" s="82">
        <f t="shared" si="155"/>
        <v>3103.9</v>
      </c>
      <c r="AJ172" s="45"/>
    </row>
    <row r="173" spans="1:36" s="53" customFormat="1" ht="42.75" customHeight="1" x14ac:dyDescent="0.2">
      <c r="A173" s="163"/>
      <c r="B173" s="161" t="s">
        <v>319</v>
      </c>
      <c r="C173" s="130" t="s">
        <v>56</v>
      </c>
      <c r="D173" s="140">
        <v>80910</v>
      </c>
      <c r="E173" s="126" t="s">
        <v>33</v>
      </c>
      <c r="F173" s="141" t="s">
        <v>234</v>
      </c>
      <c r="G173" s="125" t="s">
        <v>33</v>
      </c>
      <c r="H173" s="125" t="s">
        <v>33</v>
      </c>
      <c r="I173" s="126" t="s">
        <v>33</v>
      </c>
      <c r="J173" s="126" t="s">
        <v>33</v>
      </c>
      <c r="K173" s="126" t="s">
        <v>33</v>
      </c>
      <c r="L173" s="126" t="s">
        <v>33</v>
      </c>
      <c r="M173" s="192"/>
      <c r="N173" s="129">
        <f>N174+N178+N183</f>
        <v>3158.38</v>
      </c>
      <c r="O173" s="129">
        <f t="shared" ref="O173:AI173" si="159">O174+O178+O183</f>
        <v>0</v>
      </c>
      <c r="P173" s="129">
        <f>P174+P178+P183</f>
        <v>480</v>
      </c>
      <c r="Q173" s="129">
        <f>Q174+Q178+Q183</f>
        <v>0</v>
      </c>
      <c r="R173" s="129">
        <f>R174+R178+R183</f>
        <v>0</v>
      </c>
      <c r="S173" s="129">
        <f>S174+S178+S183</f>
        <v>0</v>
      </c>
      <c r="T173" s="129">
        <f t="shared" ref="T173:AF173" si="160">T174+T178+T183</f>
        <v>0</v>
      </c>
      <c r="U173" s="129">
        <f t="shared" si="160"/>
        <v>0</v>
      </c>
      <c r="V173" s="129">
        <f t="shared" si="160"/>
        <v>0</v>
      </c>
      <c r="W173" s="129">
        <f t="shared" si="160"/>
        <v>0</v>
      </c>
      <c r="X173" s="129">
        <f t="shared" si="160"/>
        <v>2402.84</v>
      </c>
      <c r="Y173" s="129">
        <f t="shared" si="160"/>
        <v>0</v>
      </c>
      <c r="Z173" s="256">
        <f t="shared" si="160"/>
        <v>0</v>
      </c>
      <c r="AA173" s="256"/>
      <c r="AB173" s="256">
        <f t="shared" ref="AB173:AC173" si="161">AB174+AB178+AB183</f>
        <v>0</v>
      </c>
      <c r="AC173" s="256">
        <f t="shared" si="161"/>
        <v>0</v>
      </c>
      <c r="AD173" s="256"/>
      <c r="AE173" s="256"/>
      <c r="AF173" s="129">
        <f t="shared" si="160"/>
        <v>6041.22</v>
      </c>
      <c r="AG173" s="129">
        <f t="shared" ref="AG173" si="162">AG174+AG178+AG183</f>
        <v>0</v>
      </c>
      <c r="AH173" s="129">
        <f t="shared" si="159"/>
        <v>3103.9</v>
      </c>
      <c r="AI173" s="129">
        <f t="shared" si="159"/>
        <v>3103.9</v>
      </c>
      <c r="AJ173" s="45"/>
    </row>
    <row r="174" spans="1:36" s="53" customFormat="1" ht="33.75" customHeight="1" x14ac:dyDescent="0.2">
      <c r="A174" s="163"/>
      <c r="B174" s="161"/>
      <c r="C174" s="92" t="s">
        <v>56</v>
      </c>
      <c r="D174" s="117"/>
      <c r="E174" s="118" t="s">
        <v>33</v>
      </c>
      <c r="F174" s="119" t="s">
        <v>204</v>
      </c>
      <c r="G174" s="84" t="s">
        <v>33</v>
      </c>
      <c r="H174" s="84" t="s">
        <v>33</v>
      </c>
      <c r="I174" s="118" t="s">
        <v>33</v>
      </c>
      <c r="J174" s="118" t="s">
        <v>33</v>
      </c>
      <c r="K174" s="118" t="s">
        <v>33</v>
      </c>
      <c r="L174" s="118" t="s">
        <v>33</v>
      </c>
      <c r="M174" s="185"/>
      <c r="N174" s="120">
        <f>SUM(N175:N177)</f>
        <v>2108.17</v>
      </c>
      <c r="O174" s="120">
        <f t="shared" ref="O174:AI174" si="163">SUM(O175:O177)</f>
        <v>0</v>
      </c>
      <c r="P174" s="120">
        <f>SUM(P175:P177)</f>
        <v>0</v>
      </c>
      <c r="Q174" s="120">
        <f>SUM(Q175:Q177)</f>
        <v>0</v>
      </c>
      <c r="R174" s="120">
        <f>SUM(R175:R177)</f>
        <v>0</v>
      </c>
      <c r="S174" s="120">
        <f>SUM(S175:S177)</f>
        <v>0</v>
      </c>
      <c r="T174" s="120">
        <f t="shared" ref="T174:AF174" si="164">SUM(T175:T177)</f>
        <v>0</v>
      </c>
      <c r="U174" s="120">
        <f t="shared" si="164"/>
        <v>0</v>
      </c>
      <c r="V174" s="120">
        <f t="shared" si="164"/>
        <v>0</v>
      </c>
      <c r="W174" s="120">
        <f t="shared" si="164"/>
        <v>0</v>
      </c>
      <c r="X174" s="120">
        <f t="shared" si="164"/>
        <v>0</v>
      </c>
      <c r="Y174" s="120">
        <f t="shared" si="164"/>
        <v>0</v>
      </c>
      <c r="Z174" s="268">
        <f t="shared" si="164"/>
        <v>0</v>
      </c>
      <c r="AA174" s="268"/>
      <c r="AB174" s="268">
        <f t="shared" ref="AB174:AC174" si="165">SUM(AB175:AB177)</f>
        <v>0</v>
      </c>
      <c r="AC174" s="268">
        <f t="shared" si="165"/>
        <v>0</v>
      </c>
      <c r="AD174" s="268"/>
      <c r="AE174" s="268"/>
      <c r="AF174" s="120">
        <f t="shared" si="164"/>
        <v>2108.17</v>
      </c>
      <c r="AG174" s="120">
        <f t="shared" ref="AG174" si="166">SUM(AG175:AG177)</f>
        <v>0</v>
      </c>
      <c r="AH174" s="120">
        <f>SUM(AH175:AH177)</f>
        <v>2053.69</v>
      </c>
      <c r="AI174" s="120">
        <f t="shared" si="163"/>
        <v>2053.69</v>
      </c>
      <c r="AJ174" s="45"/>
    </row>
    <row r="175" spans="1:36" ht="30" x14ac:dyDescent="0.25">
      <c r="C175" s="15" t="s">
        <v>56</v>
      </c>
      <c r="D175" s="13"/>
      <c r="E175" s="12" t="s">
        <v>114</v>
      </c>
      <c r="F175" s="3" t="s">
        <v>205</v>
      </c>
      <c r="G175" s="12" t="s">
        <v>72</v>
      </c>
      <c r="H175" s="12" t="s">
        <v>40</v>
      </c>
      <c r="I175" s="12">
        <v>39216</v>
      </c>
      <c r="J175" s="30">
        <v>45656</v>
      </c>
      <c r="K175" s="12">
        <f>I175</f>
        <v>39216</v>
      </c>
      <c r="L175" s="12">
        <f>K175</f>
        <v>39216</v>
      </c>
      <c r="M175" s="174"/>
      <c r="N175" s="31">
        <v>2108.17</v>
      </c>
      <c r="O175" s="31">
        <v>0</v>
      </c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264"/>
      <c r="AA175" s="264"/>
      <c r="AB175" s="264"/>
      <c r="AC175" s="264"/>
      <c r="AD175" s="264"/>
      <c r="AE175" s="264"/>
      <c r="AF175" s="25">
        <f>SUM(N175:AC175)-O175</f>
        <v>2108.17</v>
      </c>
      <c r="AG175" s="31">
        <v>0</v>
      </c>
      <c r="AH175" s="31">
        <f>N175-54.48</f>
        <v>2053.69</v>
      </c>
      <c r="AI175" s="31">
        <f>AH175</f>
        <v>2053.69</v>
      </c>
    </row>
    <row r="176" spans="1:36" ht="25.5" hidden="1" customHeight="1" x14ac:dyDescent="0.25">
      <c r="C176" s="15" t="s">
        <v>56</v>
      </c>
      <c r="D176" s="13"/>
      <c r="E176" s="12"/>
      <c r="F176" s="3" t="s">
        <v>206</v>
      </c>
      <c r="G176" s="12" t="s">
        <v>35</v>
      </c>
      <c r="H176" s="12" t="s">
        <v>35</v>
      </c>
      <c r="I176" s="12" t="s">
        <v>35</v>
      </c>
      <c r="J176" s="12" t="s">
        <v>35</v>
      </c>
      <c r="K176" s="12" t="s">
        <v>35</v>
      </c>
      <c r="L176" s="12" t="s">
        <v>35</v>
      </c>
      <c r="M176" s="174"/>
      <c r="N176" s="24">
        <v>0</v>
      </c>
      <c r="O176" s="24">
        <v>0</v>
      </c>
      <c r="P176" s="31">
        <v>0</v>
      </c>
      <c r="Q176" s="24">
        <v>0</v>
      </c>
      <c r="R176" s="24">
        <v>0</v>
      </c>
      <c r="S176" s="24"/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58">
        <v>0</v>
      </c>
      <c r="AA176" s="258"/>
      <c r="AB176" s="258">
        <v>0</v>
      </c>
      <c r="AC176" s="258">
        <v>0</v>
      </c>
      <c r="AD176" s="258"/>
      <c r="AE176" s="258"/>
      <c r="AF176" s="24">
        <v>0</v>
      </c>
      <c r="AG176" s="24">
        <v>0</v>
      </c>
      <c r="AH176" s="24">
        <v>0</v>
      </c>
      <c r="AI176" s="24">
        <v>0</v>
      </c>
    </row>
    <row r="177" spans="1:36" s="5" customFormat="1" ht="45.75" hidden="1" customHeight="1" x14ac:dyDescent="0.25">
      <c r="A177" s="160"/>
      <c r="B177" s="160"/>
      <c r="C177" s="14" t="s">
        <v>56</v>
      </c>
      <c r="D177" s="12"/>
      <c r="E177" s="12"/>
      <c r="F177" s="3" t="s">
        <v>207</v>
      </c>
      <c r="G177" s="12" t="s">
        <v>35</v>
      </c>
      <c r="H177" s="12" t="s">
        <v>35</v>
      </c>
      <c r="I177" s="12" t="s">
        <v>35</v>
      </c>
      <c r="J177" s="30" t="s">
        <v>35</v>
      </c>
      <c r="K177" s="12" t="s">
        <v>35</v>
      </c>
      <c r="L177" s="12" t="s">
        <v>35</v>
      </c>
      <c r="M177" s="174"/>
      <c r="N177" s="24">
        <v>0</v>
      </c>
      <c r="O177" s="24">
        <v>0</v>
      </c>
      <c r="P177" s="31">
        <v>0</v>
      </c>
      <c r="Q177" s="24">
        <v>0</v>
      </c>
      <c r="R177" s="24">
        <v>0</v>
      </c>
      <c r="S177" s="24"/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58">
        <v>0</v>
      </c>
      <c r="AA177" s="258"/>
      <c r="AB177" s="258">
        <v>0</v>
      </c>
      <c r="AC177" s="258">
        <v>0</v>
      </c>
      <c r="AD177" s="258"/>
      <c r="AE177" s="258"/>
      <c r="AF177" s="24">
        <v>0</v>
      </c>
      <c r="AG177" s="24">
        <v>0</v>
      </c>
      <c r="AH177" s="24">
        <v>0</v>
      </c>
      <c r="AI177" s="24">
        <v>0</v>
      </c>
      <c r="AJ177" s="159"/>
    </row>
    <row r="178" spans="1:36" s="53" customFormat="1" ht="41.25" customHeight="1" x14ac:dyDescent="0.2">
      <c r="A178" s="163"/>
      <c r="B178" s="161"/>
      <c r="C178" s="92" t="s">
        <v>56</v>
      </c>
      <c r="D178" s="117"/>
      <c r="E178" s="118" t="s">
        <v>33</v>
      </c>
      <c r="F178" s="119" t="s">
        <v>208</v>
      </c>
      <c r="G178" s="84" t="s">
        <v>33</v>
      </c>
      <c r="H178" s="84" t="s">
        <v>33</v>
      </c>
      <c r="I178" s="118" t="s">
        <v>33</v>
      </c>
      <c r="J178" s="118" t="s">
        <v>33</v>
      </c>
      <c r="K178" s="118" t="s">
        <v>33</v>
      </c>
      <c r="L178" s="118" t="s">
        <v>33</v>
      </c>
      <c r="M178" s="185"/>
      <c r="N178" s="120">
        <f>SUM(N179:N182)</f>
        <v>1050.21</v>
      </c>
      <c r="O178" s="120">
        <f t="shared" ref="O178:AI178" si="167">SUM(O179:O182)</f>
        <v>0</v>
      </c>
      <c r="P178" s="120">
        <f>SUM(P179:P182)</f>
        <v>0</v>
      </c>
      <c r="Q178" s="120">
        <f>SUM(Q179:Q182)</f>
        <v>0</v>
      </c>
      <c r="R178" s="120">
        <f>SUM(R179:R182)</f>
        <v>0</v>
      </c>
      <c r="S178" s="120"/>
      <c r="T178" s="120">
        <f t="shared" ref="T178:AF178" si="168">SUM(T179:T182)</f>
        <v>0</v>
      </c>
      <c r="U178" s="120">
        <f t="shared" si="168"/>
        <v>0</v>
      </c>
      <c r="V178" s="120">
        <f t="shared" si="168"/>
        <v>0</v>
      </c>
      <c r="W178" s="120">
        <f t="shared" si="168"/>
        <v>0</v>
      </c>
      <c r="X178" s="120">
        <f t="shared" si="168"/>
        <v>2402.84</v>
      </c>
      <c r="Y178" s="120">
        <f t="shared" si="168"/>
        <v>0</v>
      </c>
      <c r="Z178" s="268">
        <f t="shared" si="168"/>
        <v>0</v>
      </c>
      <c r="AA178" s="268"/>
      <c r="AB178" s="268">
        <f t="shared" ref="AB178:AC178" si="169">SUM(AB179:AB182)</f>
        <v>0</v>
      </c>
      <c r="AC178" s="268">
        <f t="shared" si="169"/>
        <v>0</v>
      </c>
      <c r="AD178" s="268"/>
      <c r="AE178" s="268"/>
      <c r="AF178" s="120">
        <f t="shared" si="168"/>
        <v>3453.05</v>
      </c>
      <c r="AG178" s="120">
        <f t="shared" ref="AG178" si="170">SUM(AG179:AG182)</f>
        <v>0</v>
      </c>
      <c r="AH178" s="120">
        <f t="shared" si="167"/>
        <v>1050.21</v>
      </c>
      <c r="AI178" s="120">
        <f t="shared" si="167"/>
        <v>1050.21</v>
      </c>
      <c r="AJ178" s="45"/>
    </row>
    <row r="179" spans="1:36" ht="30" x14ac:dyDescent="0.25">
      <c r="C179" s="15" t="s">
        <v>56</v>
      </c>
      <c r="D179" s="13"/>
      <c r="E179" s="12" t="s">
        <v>114</v>
      </c>
      <c r="F179" s="3" t="s">
        <v>205</v>
      </c>
      <c r="G179" s="12" t="s">
        <v>72</v>
      </c>
      <c r="H179" s="12" t="s">
        <v>40</v>
      </c>
      <c r="I179" s="12">
        <v>19536</v>
      </c>
      <c r="J179" s="30">
        <v>45656</v>
      </c>
      <c r="K179" s="12">
        <f>I179</f>
        <v>19536</v>
      </c>
      <c r="L179" s="12">
        <f>K179</f>
        <v>19536</v>
      </c>
      <c r="M179" s="174"/>
      <c r="N179" s="31">
        <v>1050.21</v>
      </c>
      <c r="O179" s="31">
        <v>0</v>
      </c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264"/>
      <c r="AA179" s="264"/>
      <c r="AB179" s="264"/>
      <c r="AC179" s="264"/>
      <c r="AD179" s="264"/>
      <c r="AE179" s="264"/>
      <c r="AF179" s="25">
        <f>SUM(N179:AC179)-O179</f>
        <v>1050.21</v>
      </c>
      <c r="AG179" s="31">
        <v>0</v>
      </c>
      <c r="AH179" s="31">
        <f>N179</f>
        <v>1050.21</v>
      </c>
      <c r="AI179" s="31">
        <f>AH179</f>
        <v>1050.21</v>
      </c>
    </row>
    <row r="180" spans="1:36" ht="45" x14ac:dyDescent="0.25">
      <c r="B180" s="249" t="s">
        <v>430</v>
      </c>
      <c r="C180" s="15" t="s">
        <v>56</v>
      </c>
      <c r="D180" s="13"/>
      <c r="E180" s="12" t="s">
        <v>411</v>
      </c>
      <c r="F180" s="3" t="s">
        <v>412</v>
      </c>
      <c r="G180" s="12" t="s">
        <v>440</v>
      </c>
      <c r="H180" s="12" t="s">
        <v>81</v>
      </c>
      <c r="I180" s="12">
        <v>172</v>
      </c>
      <c r="J180" s="30">
        <v>45656</v>
      </c>
      <c r="K180" s="12">
        <v>0</v>
      </c>
      <c r="L180" s="12">
        <v>0</v>
      </c>
      <c r="M180" s="174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>
        <v>2402.84</v>
      </c>
      <c r="Y180" s="31"/>
      <c r="Z180" s="264"/>
      <c r="AA180" s="264"/>
      <c r="AB180" s="264"/>
      <c r="AC180" s="264"/>
      <c r="AD180" s="264"/>
      <c r="AE180" s="264"/>
      <c r="AF180" s="25">
        <f>SUM(N180:AC180)-O180</f>
        <v>2402.84</v>
      </c>
      <c r="AG180" s="31">
        <v>0</v>
      </c>
      <c r="AH180" s="31">
        <v>0</v>
      </c>
      <c r="AI180" s="31">
        <v>0</v>
      </c>
    </row>
    <row r="181" spans="1:36" ht="25.5" hidden="1" customHeight="1" x14ac:dyDescent="0.25">
      <c r="C181" s="15" t="s">
        <v>56</v>
      </c>
      <c r="D181" s="13"/>
      <c r="E181" s="12"/>
      <c r="F181" s="3" t="s">
        <v>206</v>
      </c>
      <c r="G181" s="12" t="s">
        <v>35</v>
      </c>
      <c r="H181" s="12" t="s">
        <v>35</v>
      </c>
      <c r="I181" s="12" t="s">
        <v>35</v>
      </c>
      <c r="J181" s="30" t="s">
        <v>35</v>
      </c>
      <c r="K181" s="12" t="s">
        <v>35</v>
      </c>
      <c r="L181" s="12" t="s">
        <v>35</v>
      </c>
      <c r="M181" s="174"/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/>
      <c r="T181" s="31">
        <v>0</v>
      </c>
      <c r="U181" s="31">
        <v>0</v>
      </c>
      <c r="V181" s="31">
        <v>0</v>
      </c>
      <c r="W181" s="31">
        <v>0</v>
      </c>
      <c r="X181" s="31">
        <v>0</v>
      </c>
      <c r="Y181" s="31">
        <v>0</v>
      </c>
      <c r="Z181" s="264">
        <v>0</v>
      </c>
      <c r="AA181" s="264"/>
      <c r="AB181" s="264">
        <v>0</v>
      </c>
      <c r="AC181" s="264">
        <v>0</v>
      </c>
      <c r="AD181" s="264"/>
      <c r="AE181" s="264"/>
      <c r="AF181" s="25">
        <f>SUM(N181:AC181)-O181</f>
        <v>0</v>
      </c>
      <c r="AG181" s="31">
        <v>0</v>
      </c>
      <c r="AH181" s="31">
        <v>0</v>
      </c>
      <c r="AI181" s="31">
        <v>0</v>
      </c>
    </row>
    <row r="182" spans="1:36" s="5" customFormat="1" ht="45.75" hidden="1" customHeight="1" x14ac:dyDescent="0.25">
      <c r="A182" s="160"/>
      <c r="B182" s="160"/>
      <c r="C182" s="14" t="s">
        <v>56</v>
      </c>
      <c r="D182" s="12"/>
      <c r="E182" s="12"/>
      <c r="F182" s="3" t="s">
        <v>207</v>
      </c>
      <c r="G182" s="12" t="s">
        <v>35</v>
      </c>
      <c r="H182" s="12" t="s">
        <v>35</v>
      </c>
      <c r="I182" s="12" t="s">
        <v>35</v>
      </c>
      <c r="J182" s="30" t="s">
        <v>35</v>
      </c>
      <c r="K182" s="12" t="s">
        <v>35</v>
      </c>
      <c r="L182" s="12" t="s">
        <v>35</v>
      </c>
      <c r="M182" s="174"/>
      <c r="N182" s="24">
        <v>0</v>
      </c>
      <c r="O182" s="24">
        <v>0</v>
      </c>
      <c r="P182" s="31">
        <v>0</v>
      </c>
      <c r="Q182" s="24">
        <v>0</v>
      </c>
      <c r="R182" s="24">
        <v>0</v>
      </c>
      <c r="S182" s="24"/>
      <c r="T182" s="24">
        <v>0</v>
      </c>
      <c r="U182" s="24">
        <v>0</v>
      </c>
      <c r="V182" s="24">
        <v>0</v>
      </c>
      <c r="W182" s="24">
        <v>0</v>
      </c>
      <c r="X182" s="24">
        <v>0</v>
      </c>
      <c r="Y182" s="24">
        <v>0</v>
      </c>
      <c r="Z182" s="258">
        <v>0</v>
      </c>
      <c r="AA182" s="258"/>
      <c r="AB182" s="258">
        <v>0</v>
      </c>
      <c r="AC182" s="258">
        <v>0</v>
      </c>
      <c r="AD182" s="258"/>
      <c r="AE182" s="258"/>
      <c r="AF182" s="25">
        <f>SUM(N182:AC182)-O182</f>
        <v>0</v>
      </c>
      <c r="AG182" s="24">
        <v>0</v>
      </c>
      <c r="AH182" s="24">
        <v>0</v>
      </c>
      <c r="AI182" s="24">
        <v>0</v>
      </c>
    </row>
    <row r="183" spans="1:36" s="53" customFormat="1" ht="33.75" customHeight="1" x14ac:dyDescent="0.2">
      <c r="A183" s="163"/>
      <c r="B183" s="161"/>
      <c r="C183" s="92" t="s">
        <v>56</v>
      </c>
      <c r="D183" s="117"/>
      <c r="E183" s="118" t="s">
        <v>33</v>
      </c>
      <c r="F183" s="119" t="s">
        <v>470</v>
      </c>
      <c r="G183" s="84" t="s">
        <v>33</v>
      </c>
      <c r="H183" s="84" t="s">
        <v>33</v>
      </c>
      <c r="I183" s="118" t="s">
        <v>33</v>
      </c>
      <c r="J183" s="118" t="s">
        <v>33</v>
      </c>
      <c r="K183" s="118" t="s">
        <v>33</v>
      </c>
      <c r="L183" s="118" t="s">
        <v>33</v>
      </c>
      <c r="M183" s="185"/>
      <c r="N183" s="120">
        <f>SUM(N184:N189)</f>
        <v>0</v>
      </c>
      <c r="O183" s="120">
        <f t="shared" ref="O183:AI183" si="171">SUM(O184:O189)</f>
        <v>0</v>
      </c>
      <c r="P183" s="120">
        <f>SUM(P184:P189)</f>
        <v>480</v>
      </c>
      <c r="Q183" s="120">
        <f>SUM(Q184:Q189)</f>
        <v>0</v>
      </c>
      <c r="R183" s="120">
        <f>SUM(R184:R189)</f>
        <v>0</v>
      </c>
      <c r="S183" s="120"/>
      <c r="T183" s="120">
        <f t="shared" ref="T183:AF183" si="172">SUM(T184:T189)</f>
        <v>0</v>
      </c>
      <c r="U183" s="120">
        <f t="shared" si="172"/>
        <v>0</v>
      </c>
      <c r="V183" s="120">
        <f t="shared" si="172"/>
        <v>0</v>
      </c>
      <c r="W183" s="120">
        <f t="shared" si="172"/>
        <v>0</v>
      </c>
      <c r="X183" s="120">
        <f t="shared" si="172"/>
        <v>0</v>
      </c>
      <c r="Y183" s="120">
        <f t="shared" si="172"/>
        <v>0</v>
      </c>
      <c r="Z183" s="268">
        <f t="shared" si="172"/>
        <v>0</v>
      </c>
      <c r="AA183" s="268"/>
      <c r="AB183" s="268">
        <f t="shared" ref="AB183:AC183" si="173">SUM(AB184:AB189)</f>
        <v>0</v>
      </c>
      <c r="AC183" s="268">
        <f t="shared" si="173"/>
        <v>0</v>
      </c>
      <c r="AD183" s="268"/>
      <c r="AE183" s="268"/>
      <c r="AF183" s="120">
        <f t="shared" si="172"/>
        <v>480</v>
      </c>
      <c r="AG183" s="120">
        <f t="shared" ref="AG183" si="174">SUM(AG184:AG189)</f>
        <v>0</v>
      </c>
      <c r="AH183" s="120">
        <f t="shared" si="171"/>
        <v>0</v>
      </c>
      <c r="AI183" s="120">
        <f t="shared" si="171"/>
        <v>0</v>
      </c>
      <c r="AJ183" s="45"/>
    </row>
    <row r="184" spans="1:36" ht="30" hidden="1" customHeight="1" x14ac:dyDescent="0.25">
      <c r="C184" s="15" t="s">
        <v>56</v>
      </c>
      <c r="D184" s="13"/>
      <c r="E184" s="12" t="s">
        <v>332</v>
      </c>
      <c r="F184" s="3" t="s">
        <v>205</v>
      </c>
      <c r="G184" s="12" t="s">
        <v>72</v>
      </c>
      <c r="H184" s="12" t="s">
        <v>40</v>
      </c>
      <c r="I184" s="12">
        <v>0</v>
      </c>
      <c r="J184" s="30">
        <v>45656</v>
      </c>
      <c r="K184" s="12">
        <v>0</v>
      </c>
      <c r="L184" s="12">
        <v>0</v>
      </c>
      <c r="M184" s="174"/>
      <c r="N184" s="31">
        <v>0</v>
      </c>
      <c r="O184" s="31">
        <v>0</v>
      </c>
      <c r="P184" s="31">
        <v>0</v>
      </c>
      <c r="Q184" s="31">
        <v>0</v>
      </c>
      <c r="R184" s="31">
        <v>0</v>
      </c>
      <c r="S184" s="31"/>
      <c r="T184" s="31">
        <v>0</v>
      </c>
      <c r="U184" s="31">
        <v>0</v>
      </c>
      <c r="V184" s="31">
        <v>0</v>
      </c>
      <c r="W184" s="31">
        <v>0</v>
      </c>
      <c r="X184" s="31">
        <v>0</v>
      </c>
      <c r="Y184" s="31">
        <v>0</v>
      </c>
      <c r="Z184" s="264">
        <v>0</v>
      </c>
      <c r="AA184" s="264"/>
      <c r="AB184" s="264">
        <v>0</v>
      </c>
      <c r="AC184" s="264">
        <v>0</v>
      </c>
      <c r="AD184" s="264"/>
      <c r="AE184" s="264"/>
      <c r="AF184" s="31">
        <v>0</v>
      </c>
      <c r="AG184" s="31">
        <v>0</v>
      </c>
      <c r="AH184" s="31">
        <v>0</v>
      </c>
      <c r="AI184" s="31">
        <v>0</v>
      </c>
    </row>
    <row r="185" spans="1:36" ht="22.5" hidden="1" customHeight="1" x14ac:dyDescent="0.25">
      <c r="C185" s="15" t="s">
        <v>56</v>
      </c>
      <c r="D185" s="13"/>
      <c r="E185" s="12"/>
      <c r="F185" s="3" t="s">
        <v>209</v>
      </c>
      <c r="G185" s="12" t="s">
        <v>35</v>
      </c>
      <c r="H185" s="12" t="s">
        <v>35</v>
      </c>
      <c r="I185" s="12" t="s">
        <v>35</v>
      </c>
      <c r="J185" s="30" t="s">
        <v>35</v>
      </c>
      <c r="K185" s="12" t="s">
        <v>35</v>
      </c>
      <c r="L185" s="12" t="s">
        <v>35</v>
      </c>
      <c r="M185" s="174"/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/>
      <c r="T185" s="31">
        <v>0</v>
      </c>
      <c r="U185" s="31">
        <v>0</v>
      </c>
      <c r="V185" s="31">
        <v>0</v>
      </c>
      <c r="W185" s="31">
        <v>0</v>
      </c>
      <c r="X185" s="31">
        <v>0</v>
      </c>
      <c r="Y185" s="31">
        <v>0</v>
      </c>
      <c r="Z185" s="264">
        <v>0</v>
      </c>
      <c r="AA185" s="264"/>
      <c r="AB185" s="264">
        <v>0</v>
      </c>
      <c r="AC185" s="264">
        <v>0</v>
      </c>
      <c r="AD185" s="264"/>
      <c r="AE185" s="264"/>
      <c r="AF185" s="31">
        <v>0</v>
      </c>
      <c r="AG185" s="31">
        <v>0</v>
      </c>
      <c r="AH185" s="31">
        <v>0</v>
      </c>
      <c r="AI185" s="31">
        <v>0</v>
      </c>
    </row>
    <row r="186" spans="1:36" s="5" customFormat="1" ht="32.25" hidden="1" customHeight="1" x14ac:dyDescent="0.25">
      <c r="A186" s="160"/>
      <c r="B186" s="160"/>
      <c r="C186" s="15" t="s">
        <v>56</v>
      </c>
      <c r="D186" s="12"/>
      <c r="E186" s="12"/>
      <c r="F186" s="3" t="s">
        <v>205</v>
      </c>
      <c r="G186" s="12" t="s">
        <v>35</v>
      </c>
      <c r="H186" s="12" t="s">
        <v>35</v>
      </c>
      <c r="I186" s="12" t="s">
        <v>35</v>
      </c>
      <c r="J186" s="30" t="s">
        <v>35</v>
      </c>
      <c r="K186" s="12" t="s">
        <v>35</v>
      </c>
      <c r="L186" s="12" t="s">
        <v>35</v>
      </c>
      <c r="M186" s="174"/>
      <c r="N186" s="24">
        <v>0</v>
      </c>
      <c r="O186" s="24">
        <v>0</v>
      </c>
      <c r="P186" s="31">
        <v>0</v>
      </c>
      <c r="Q186" s="24">
        <v>0</v>
      </c>
      <c r="R186" s="24">
        <v>0</v>
      </c>
      <c r="S186" s="24"/>
      <c r="T186" s="24">
        <v>0</v>
      </c>
      <c r="U186" s="24">
        <v>0</v>
      </c>
      <c r="V186" s="24">
        <v>0</v>
      </c>
      <c r="W186" s="24">
        <v>0</v>
      </c>
      <c r="X186" s="24">
        <v>0</v>
      </c>
      <c r="Y186" s="24">
        <v>0</v>
      </c>
      <c r="Z186" s="258">
        <v>0</v>
      </c>
      <c r="AA186" s="258"/>
      <c r="AB186" s="258">
        <v>0</v>
      </c>
      <c r="AC186" s="258">
        <v>0</v>
      </c>
      <c r="AD186" s="258"/>
      <c r="AE186" s="258"/>
      <c r="AF186" s="24">
        <v>0</v>
      </c>
      <c r="AG186" s="24">
        <v>0</v>
      </c>
      <c r="AH186" s="24">
        <v>0</v>
      </c>
      <c r="AI186" s="24">
        <v>0</v>
      </c>
    </row>
    <row r="187" spans="1:36" s="11" customFormat="1" ht="32.25" customHeight="1" x14ac:dyDescent="0.25">
      <c r="A187" s="166"/>
      <c r="B187" s="166"/>
      <c r="C187" s="234" t="s">
        <v>56</v>
      </c>
      <c r="D187" s="21">
        <v>80910</v>
      </c>
      <c r="E187" s="21" t="s">
        <v>332</v>
      </c>
      <c r="F187" s="22" t="s">
        <v>331</v>
      </c>
      <c r="G187" s="21" t="s">
        <v>72</v>
      </c>
      <c r="H187" s="21" t="s">
        <v>352</v>
      </c>
      <c r="I187" s="21">
        <v>22.313700000000001</v>
      </c>
      <c r="J187" s="233">
        <v>45656</v>
      </c>
      <c r="K187" s="21">
        <v>0</v>
      </c>
      <c r="L187" s="21">
        <v>0</v>
      </c>
      <c r="M187" s="186"/>
      <c r="N187" s="26"/>
      <c r="O187" s="26"/>
      <c r="P187" s="217">
        <v>480</v>
      </c>
      <c r="Q187" s="26"/>
      <c r="R187" s="26"/>
      <c r="S187" s="26"/>
      <c r="T187" s="26"/>
      <c r="U187" s="26"/>
      <c r="V187" s="26"/>
      <c r="W187" s="26"/>
      <c r="X187" s="26"/>
      <c r="Y187" s="26"/>
      <c r="Z187" s="263"/>
      <c r="AA187" s="263"/>
      <c r="AB187" s="263"/>
      <c r="AC187" s="263"/>
      <c r="AD187" s="263"/>
      <c r="AE187" s="263"/>
      <c r="AF187" s="26">
        <f>SUM(N187:AC187)-O187</f>
        <v>480</v>
      </c>
      <c r="AG187" s="26">
        <v>0</v>
      </c>
      <c r="AH187" s="26">
        <v>0</v>
      </c>
      <c r="AI187" s="26">
        <v>0</v>
      </c>
    </row>
    <row r="188" spans="1:36" ht="22.5" hidden="1" customHeight="1" x14ac:dyDescent="0.25">
      <c r="A188" s="162"/>
      <c r="C188" s="15" t="s">
        <v>56</v>
      </c>
      <c r="D188" s="90"/>
      <c r="E188" s="91"/>
      <c r="F188" s="3" t="s">
        <v>206</v>
      </c>
      <c r="G188" s="12" t="s">
        <v>35</v>
      </c>
      <c r="H188" s="12" t="s">
        <v>35</v>
      </c>
      <c r="I188" s="12" t="s">
        <v>35</v>
      </c>
      <c r="J188" s="30" t="s">
        <v>35</v>
      </c>
      <c r="K188" s="12" t="s">
        <v>35</v>
      </c>
      <c r="L188" s="12" t="s">
        <v>35</v>
      </c>
      <c r="M188" s="174"/>
      <c r="N188" s="24">
        <v>0</v>
      </c>
      <c r="O188" s="24">
        <v>0</v>
      </c>
      <c r="P188" s="31">
        <v>0</v>
      </c>
      <c r="Q188" s="24">
        <v>0</v>
      </c>
      <c r="R188" s="24">
        <v>0</v>
      </c>
      <c r="S188" s="24"/>
      <c r="T188" s="24">
        <v>0</v>
      </c>
      <c r="U188" s="24">
        <v>0</v>
      </c>
      <c r="V188" s="24">
        <v>0</v>
      </c>
      <c r="W188" s="24">
        <v>0</v>
      </c>
      <c r="X188" s="24">
        <v>0</v>
      </c>
      <c r="Y188" s="24">
        <v>0</v>
      </c>
      <c r="Z188" s="258">
        <v>0</v>
      </c>
      <c r="AA188" s="258"/>
      <c r="AB188" s="258">
        <v>0</v>
      </c>
      <c r="AC188" s="258">
        <v>0</v>
      </c>
      <c r="AD188" s="258"/>
      <c r="AE188" s="258"/>
      <c r="AF188" s="24">
        <v>0</v>
      </c>
      <c r="AG188" s="24">
        <v>0</v>
      </c>
      <c r="AH188" s="24">
        <v>0</v>
      </c>
      <c r="AI188" s="24">
        <v>0</v>
      </c>
    </row>
    <row r="189" spans="1:36" s="52" customFormat="1" ht="50.25" hidden="1" customHeight="1" x14ac:dyDescent="0.2">
      <c r="A189" s="161"/>
      <c r="B189" s="161"/>
      <c r="C189" s="15" t="s">
        <v>56</v>
      </c>
      <c r="D189" s="61"/>
      <c r="E189" s="61"/>
      <c r="F189" s="3" t="s">
        <v>210</v>
      </c>
      <c r="G189" s="12" t="s">
        <v>35</v>
      </c>
      <c r="H189" s="12" t="s">
        <v>35</v>
      </c>
      <c r="I189" s="33" t="s">
        <v>35</v>
      </c>
      <c r="J189" s="33" t="s">
        <v>35</v>
      </c>
      <c r="K189" s="33" t="s">
        <v>35</v>
      </c>
      <c r="L189" s="33" t="s">
        <v>35</v>
      </c>
      <c r="M189" s="179"/>
      <c r="N189" s="24">
        <v>0</v>
      </c>
      <c r="O189" s="24">
        <v>0</v>
      </c>
      <c r="P189" s="31">
        <v>0</v>
      </c>
      <c r="Q189" s="24">
        <v>0</v>
      </c>
      <c r="R189" s="24">
        <v>0</v>
      </c>
      <c r="S189" s="24"/>
      <c r="T189" s="24">
        <v>0</v>
      </c>
      <c r="U189" s="24">
        <v>0</v>
      </c>
      <c r="V189" s="24">
        <v>0</v>
      </c>
      <c r="W189" s="24">
        <v>0</v>
      </c>
      <c r="X189" s="24">
        <v>0</v>
      </c>
      <c r="Y189" s="24">
        <v>0</v>
      </c>
      <c r="Z189" s="258">
        <v>0</v>
      </c>
      <c r="AA189" s="258"/>
      <c r="AB189" s="258">
        <v>0</v>
      </c>
      <c r="AC189" s="258">
        <v>0</v>
      </c>
      <c r="AD189" s="258"/>
      <c r="AE189" s="258"/>
      <c r="AF189" s="24">
        <v>0</v>
      </c>
      <c r="AG189" s="24">
        <v>0</v>
      </c>
      <c r="AH189" s="24">
        <v>0</v>
      </c>
      <c r="AI189" s="24">
        <v>0</v>
      </c>
    </row>
    <row r="190" spans="1:36" s="52" customFormat="1" ht="33.75" customHeight="1" x14ac:dyDescent="0.2">
      <c r="A190" s="161" t="s">
        <v>320</v>
      </c>
      <c r="B190" s="161"/>
      <c r="C190" s="54" t="s">
        <v>162</v>
      </c>
      <c r="D190" s="48" t="s">
        <v>33</v>
      </c>
      <c r="E190" s="48" t="s">
        <v>33</v>
      </c>
      <c r="F190" s="49" t="s">
        <v>235</v>
      </c>
      <c r="G190" s="48" t="s">
        <v>33</v>
      </c>
      <c r="H190" s="48" t="s">
        <v>33</v>
      </c>
      <c r="I190" s="50" t="s">
        <v>33</v>
      </c>
      <c r="J190" s="50" t="s">
        <v>33</v>
      </c>
      <c r="K190" s="50" t="s">
        <v>33</v>
      </c>
      <c r="L190" s="50" t="s">
        <v>33</v>
      </c>
      <c r="M190" s="190"/>
      <c r="N190" s="51">
        <f t="shared" ref="N190:AI190" si="175">N191+N203</f>
        <v>10849.51</v>
      </c>
      <c r="O190" s="51">
        <f t="shared" si="175"/>
        <v>0</v>
      </c>
      <c r="P190" s="51">
        <f t="shared" si="175"/>
        <v>0</v>
      </c>
      <c r="Q190" s="51">
        <f t="shared" si="175"/>
        <v>0</v>
      </c>
      <c r="R190" s="51">
        <f t="shared" si="175"/>
        <v>988.69</v>
      </c>
      <c r="S190" s="51">
        <f t="shared" si="175"/>
        <v>0</v>
      </c>
      <c r="T190" s="51">
        <f t="shared" si="175"/>
        <v>0</v>
      </c>
      <c r="U190" s="51">
        <f t="shared" si="175"/>
        <v>0</v>
      </c>
      <c r="V190" s="51">
        <f t="shared" si="175"/>
        <v>0</v>
      </c>
      <c r="W190" s="51">
        <f t="shared" si="175"/>
        <v>0</v>
      </c>
      <c r="X190" s="51">
        <f t="shared" si="175"/>
        <v>0</v>
      </c>
      <c r="Y190" s="51">
        <f t="shared" si="175"/>
        <v>0</v>
      </c>
      <c r="Z190" s="254">
        <f t="shared" si="175"/>
        <v>0</v>
      </c>
      <c r="AA190" s="254"/>
      <c r="AB190" s="254">
        <f t="shared" ref="AB190:AC190" si="176">AB191+AB203</f>
        <v>672.43000000000006</v>
      </c>
      <c r="AC190" s="254">
        <f t="shared" si="176"/>
        <v>0</v>
      </c>
      <c r="AD190" s="254"/>
      <c r="AE190" s="254"/>
      <c r="AF190" s="51">
        <f t="shared" si="175"/>
        <v>12510.63</v>
      </c>
      <c r="AG190" s="51">
        <f t="shared" si="175"/>
        <v>0</v>
      </c>
      <c r="AH190" s="51">
        <f t="shared" si="175"/>
        <v>10849.51</v>
      </c>
      <c r="AI190" s="51">
        <f t="shared" si="175"/>
        <v>10849.51</v>
      </c>
      <c r="AJ190" s="153">
        <f>N190+AH190+AI190</f>
        <v>32548.53</v>
      </c>
    </row>
    <row r="191" spans="1:36" s="52" customFormat="1" ht="50.25" customHeight="1" x14ac:dyDescent="0.2">
      <c r="A191" s="161" t="s">
        <v>321</v>
      </c>
      <c r="B191" s="161"/>
      <c r="C191" s="89" t="s">
        <v>123</v>
      </c>
      <c r="D191" s="79" t="s">
        <v>33</v>
      </c>
      <c r="E191" s="79" t="s">
        <v>33</v>
      </c>
      <c r="F191" s="80" t="s">
        <v>163</v>
      </c>
      <c r="G191" s="79" t="s">
        <v>146</v>
      </c>
      <c r="H191" s="79" t="s">
        <v>40</v>
      </c>
      <c r="I191" s="81">
        <f>I198+I199/2+I196+I194+I195</f>
        <v>283309.55</v>
      </c>
      <c r="J191" s="81" t="s">
        <v>33</v>
      </c>
      <c r="K191" s="81">
        <f t="shared" ref="K191:L191" si="177">K198+K199/2+K196+K194+K195</f>
        <v>283309.55</v>
      </c>
      <c r="L191" s="81">
        <f t="shared" si="177"/>
        <v>283309.55</v>
      </c>
      <c r="M191" s="191"/>
      <c r="N191" s="113">
        <f t="shared" ref="N191:AI191" si="178">N193+N200</f>
        <v>10849.51</v>
      </c>
      <c r="O191" s="113">
        <f t="shared" si="178"/>
        <v>0</v>
      </c>
      <c r="P191" s="113">
        <f t="shared" si="178"/>
        <v>0</v>
      </c>
      <c r="Q191" s="113">
        <f t="shared" si="178"/>
        <v>0</v>
      </c>
      <c r="R191" s="113">
        <f t="shared" si="178"/>
        <v>988.69</v>
      </c>
      <c r="S191" s="113">
        <f t="shared" si="178"/>
        <v>0</v>
      </c>
      <c r="T191" s="113">
        <f t="shared" si="178"/>
        <v>0</v>
      </c>
      <c r="U191" s="113">
        <f t="shared" si="178"/>
        <v>0</v>
      </c>
      <c r="V191" s="113">
        <f t="shared" si="178"/>
        <v>0</v>
      </c>
      <c r="W191" s="113">
        <f t="shared" si="178"/>
        <v>0</v>
      </c>
      <c r="X191" s="113">
        <f t="shared" si="178"/>
        <v>0</v>
      </c>
      <c r="Y191" s="113">
        <f t="shared" si="178"/>
        <v>0</v>
      </c>
      <c r="Z191" s="269">
        <f t="shared" si="178"/>
        <v>0</v>
      </c>
      <c r="AA191" s="269"/>
      <c r="AB191" s="269">
        <f t="shared" ref="AB191:AC191" si="179">AB193+AB200</f>
        <v>672.43000000000006</v>
      </c>
      <c r="AC191" s="269">
        <f t="shared" si="179"/>
        <v>0</v>
      </c>
      <c r="AD191" s="269"/>
      <c r="AE191" s="269"/>
      <c r="AF191" s="113">
        <f t="shared" si="178"/>
        <v>12510.63</v>
      </c>
      <c r="AG191" s="113">
        <f t="shared" si="178"/>
        <v>0</v>
      </c>
      <c r="AH191" s="113">
        <f t="shared" si="178"/>
        <v>10849.51</v>
      </c>
      <c r="AI191" s="113">
        <f t="shared" si="178"/>
        <v>10849.51</v>
      </c>
    </row>
    <row r="192" spans="1:36" s="52" customFormat="1" ht="51" customHeight="1" x14ac:dyDescent="0.2">
      <c r="A192" s="161"/>
      <c r="B192" s="161"/>
      <c r="C192" s="130" t="s">
        <v>123</v>
      </c>
      <c r="D192" s="126"/>
      <c r="E192" s="126" t="s">
        <v>33</v>
      </c>
      <c r="F192" s="127" t="s">
        <v>236</v>
      </c>
      <c r="G192" s="126" t="s">
        <v>33</v>
      </c>
      <c r="H192" s="126" t="s">
        <v>33</v>
      </c>
      <c r="I192" s="128" t="s">
        <v>33</v>
      </c>
      <c r="J192" s="128" t="s">
        <v>33</v>
      </c>
      <c r="K192" s="128" t="s">
        <v>33</v>
      </c>
      <c r="L192" s="128" t="s">
        <v>33</v>
      </c>
      <c r="M192" s="190"/>
      <c r="N192" s="129">
        <f>N193</f>
        <v>10849.51</v>
      </c>
      <c r="O192" s="129">
        <f t="shared" ref="O192:AI192" si="180">O193</f>
        <v>0</v>
      </c>
      <c r="P192" s="129">
        <f>P193</f>
        <v>0</v>
      </c>
      <c r="Q192" s="129">
        <f>Q193</f>
        <v>0</v>
      </c>
      <c r="R192" s="129">
        <f>R193</f>
        <v>988.69</v>
      </c>
      <c r="S192" s="129">
        <f>S193</f>
        <v>0</v>
      </c>
      <c r="T192" s="129">
        <f t="shared" ref="T192:AF192" si="181">T193</f>
        <v>0</v>
      </c>
      <c r="U192" s="129">
        <f t="shared" si="181"/>
        <v>0</v>
      </c>
      <c r="V192" s="129">
        <f t="shared" si="181"/>
        <v>0</v>
      </c>
      <c r="W192" s="129">
        <f t="shared" si="181"/>
        <v>0</v>
      </c>
      <c r="X192" s="129">
        <f t="shared" si="181"/>
        <v>0</v>
      </c>
      <c r="Y192" s="129">
        <f t="shared" si="181"/>
        <v>0</v>
      </c>
      <c r="Z192" s="256">
        <f t="shared" si="181"/>
        <v>0</v>
      </c>
      <c r="AA192" s="256"/>
      <c r="AB192" s="256">
        <f t="shared" ref="AB192:AC192" si="182">AB193</f>
        <v>672.43000000000006</v>
      </c>
      <c r="AC192" s="256">
        <f t="shared" si="182"/>
        <v>0</v>
      </c>
      <c r="AD192" s="256"/>
      <c r="AE192" s="256"/>
      <c r="AF192" s="129">
        <f t="shared" si="181"/>
        <v>12510.63</v>
      </c>
      <c r="AG192" s="129">
        <f t="shared" si="180"/>
        <v>0</v>
      </c>
      <c r="AH192" s="129">
        <f t="shared" si="180"/>
        <v>10849.51</v>
      </c>
      <c r="AI192" s="129">
        <f t="shared" si="180"/>
        <v>10849.51</v>
      </c>
    </row>
    <row r="193" spans="1:35" s="52" customFormat="1" ht="36.75" customHeight="1" x14ac:dyDescent="0.2">
      <c r="A193" s="161"/>
      <c r="B193" s="161"/>
      <c r="C193" s="115" t="s">
        <v>123</v>
      </c>
      <c r="D193" s="84"/>
      <c r="E193" s="84" t="s">
        <v>33</v>
      </c>
      <c r="F193" s="85" t="s">
        <v>212</v>
      </c>
      <c r="G193" s="84" t="s">
        <v>33</v>
      </c>
      <c r="H193" s="84" t="s">
        <v>33</v>
      </c>
      <c r="I193" s="86" t="s">
        <v>33</v>
      </c>
      <c r="J193" s="86" t="s">
        <v>33</v>
      </c>
      <c r="K193" s="86" t="s">
        <v>33</v>
      </c>
      <c r="L193" s="86" t="s">
        <v>33</v>
      </c>
      <c r="M193" s="178"/>
      <c r="N193" s="87">
        <f>SUM(N194:N199)</f>
        <v>10849.51</v>
      </c>
      <c r="O193" s="87">
        <f t="shared" ref="O193:AI193" si="183">SUM(O194:O199)</f>
        <v>0</v>
      </c>
      <c r="P193" s="120">
        <f>SUM(P194:P199)</f>
        <v>0</v>
      </c>
      <c r="Q193" s="87">
        <f>SUM(Q194:Q199)</f>
        <v>0</v>
      </c>
      <c r="R193" s="87">
        <f>SUM(R194:R214)</f>
        <v>988.69</v>
      </c>
      <c r="S193" s="87"/>
      <c r="T193" s="87">
        <f>SUM(T194:T199)</f>
        <v>0</v>
      </c>
      <c r="U193" s="87">
        <f>SUM(U194:U199)</f>
        <v>0</v>
      </c>
      <c r="V193" s="87">
        <f>SUM(V194:V199)</f>
        <v>0</v>
      </c>
      <c r="W193" s="87">
        <f>SUM(W194:W199)</f>
        <v>0</v>
      </c>
      <c r="X193" s="87">
        <f>SUM(X194:X217)</f>
        <v>0</v>
      </c>
      <c r="Y193" s="87">
        <f t="shared" ref="Y193:Z193" si="184">SUM(Y194:Y216)</f>
        <v>0</v>
      </c>
      <c r="Z193" s="257">
        <f t="shared" si="184"/>
        <v>0</v>
      </c>
      <c r="AA193" s="257"/>
      <c r="AB193" s="257">
        <f>SUM(AB194:AB217)</f>
        <v>672.43000000000006</v>
      </c>
      <c r="AC193" s="257">
        <f t="shared" ref="AC193" si="185">SUM(AC194:AC216)</f>
        <v>0</v>
      </c>
      <c r="AD193" s="257"/>
      <c r="AE193" s="257"/>
      <c r="AF193" s="87">
        <f>SUM(AF194:AF217)</f>
        <v>12510.63</v>
      </c>
      <c r="AG193" s="87">
        <f t="shared" ref="AG193" si="186">SUM(AG194:AG199)</f>
        <v>0</v>
      </c>
      <c r="AH193" s="87">
        <f t="shared" si="183"/>
        <v>10849.51</v>
      </c>
      <c r="AI193" s="87">
        <f t="shared" si="183"/>
        <v>10849.51</v>
      </c>
    </row>
    <row r="194" spans="1:35" ht="52.5" customHeight="1" x14ac:dyDescent="0.25">
      <c r="A194" s="162"/>
      <c r="B194" s="160" t="s">
        <v>322</v>
      </c>
      <c r="C194" s="14" t="s">
        <v>123</v>
      </c>
      <c r="D194" s="12">
        <v>80010</v>
      </c>
      <c r="E194" s="12" t="s">
        <v>107</v>
      </c>
      <c r="F194" s="3" t="s">
        <v>148</v>
      </c>
      <c r="G194" s="17" t="s">
        <v>77</v>
      </c>
      <c r="H194" s="17" t="s">
        <v>69</v>
      </c>
      <c r="I194" s="17">
        <v>400</v>
      </c>
      <c r="J194" s="35">
        <v>45656</v>
      </c>
      <c r="K194" s="17">
        <v>400</v>
      </c>
      <c r="L194" s="17">
        <v>400</v>
      </c>
      <c r="M194" s="180"/>
      <c r="N194" s="24">
        <v>318.66000000000003</v>
      </c>
      <c r="O194" s="24">
        <v>0</v>
      </c>
      <c r="P194" s="31"/>
      <c r="Q194" s="24"/>
      <c r="R194" s="24"/>
      <c r="S194" s="24"/>
      <c r="T194" s="24"/>
      <c r="U194" s="224">
        <f>362.79-318.66</f>
        <v>44.129999999999995</v>
      </c>
      <c r="V194" s="24"/>
      <c r="W194" s="24"/>
      <c r="X194" s="24"/>
      <c r="Y194" s="24"/>
      <c r="Z194" s="258"/>
      <c r="AA194" s="258"/>
      <c r="AB194" s="258"/>
      <c r="AC194" s="258"/>
      <c r="AD194" s="258">
        <v>53.3</v>
      </c>
      <c r="AE194" s="258">
        <v>17.510000000000002</v>
      </c>
      <c r="AF194" s="25">
        <f>SUM(N194:AC194)-O194+AD194+AE194</f>
        <v>433.6</v>
      </c>
      <c r="AG194" s="24">
        <v>0</v>
      </c>
      <c r="AH194" s="24">
        <v>318.66000000000003</v>
      </c>
      <c r="AI194" s="24">
        <v>318.66000000000003</v>
      </c>
    </row>
    <row r="195" spans="1:35" ht="37.5" customHeight="1" x14ac:dyDescent="0.25">
      <c r="A195" s="162"/>
      <c r="B195" s="160" t="s">
        <v>323</v>
      </c>
      <c r="C195" s="14" t="s">
        <v>123</v>
      </c>
      <c r="D195" s="12">
        <v>80010</v>
      </c>
      <c r="E195" s="12" t="s">
        <v>107</v>
      </c>
      <c r="F195" s="3" t="s">
        <v>121</v>
      </c>
      <c r="G195" s="17" t="s">
        <v>76</v>
      </c>
      <c r="H195" s="17" t="s">
        <v>69</v>
      </c>
      <c r="I195" s="17">
        <v>356</v>
      </c>
      <c r="J195" s="35">
        <v>45656</v>
      </c>
      <c r="K195" s="17">
        <f>I195</f>
        <v>356</v>
      </c>
      <c r="L195" s="17">
        <f>K195</f>
        <v>356</v>
      </c>
      <c r="M195" s="180"/>
      <c r="N195" s="24">
        <v>2247.6999999999998</v>
      </c>
      <c r="O195" s="24">
        <v>0</v>
      </c>
      <c r="P195" s="31"/>
      <c r="Q195" s="24"/>
      <c r="R195" s="24"/>
      <c r="S195" s="24"/>
      <c r="T195" s="24"/>
      <c r="U195" s="24"/>
      <c r="V195" s="24"/>
      <c r="W195" s="24"/>
      <c r="X195" s="24"/>
      <c r="Y195" s="24"/>
      <c r="Z195" s="258"/>
      <c r="AA195" s="258"/>
      <c r="AB195" s="258"/>
      <c r="AC195" s="258"/>
      <c r="AD195" s="258"/>
      <c r="AE195" s="258"/>
      <c r="AF195" s="25">
        <f>SUM(N195:AC195)-O195</f>
        <v>2247.6999999999998</v>
      </c>
      <c r="AG195" s="24">
        <v>0</v>
      </c>
      <c r="AH195" s="24">
        <v>2247.6999999999998</v>
      </c>
      <c r="AI195" s="24">
        <v>2247.6999999999998</v>
      </c>
    </row>
    <row r="196" spans="1:35" s="122" customFormat="1" ht="52.5" customHeight="1" x14ac:dyDescent="0.25">
      <c r="A196" s="167"/>
      <c r="B196" s="160" t="s">
        <v>324</v>
      </c>
      <c r="C196" s="14" t="s">
        <v>123</v>
      </c>
      <c r="D196" s="12">
        <v>80010</v>
      </c>
      <c r="E196" s="12" t="s">
        <v>82</v>
      </c>
      <c r="F196" s="3" t="s">
        <v>213</v>
      </c>
      <c r="G196" s="12" t="s">
        <v>75</v>
      </c>
      <c r="H196" s="12" t="s">
        <v>40</v>
      </c>
      <c r="I196" s="12">
        <v>1645.5</v>
      </c>
      <c r="J196" s="30">
        <v>45656</v>
      </c>
      <c r="K196" s="12">
        <v>1645.5</v>
      </c>
      <c r="L196" s="12">
        <v>1645.5</v>
      </c>
      <c r="M196" s="174"/>
      <c r="N196" s="24">
        <v>1305.9000000000001</v>
      </c>
      <c r="O196" s="24">
        <v>0</v>
      </c>
      <c r="P196" s="31"/>
      <c r="Q196" s="24"/>
      <c r="R196" s="24"/>
      <c r="S196" s="24"/>
      <c r="T196" s="24"/>
      <c r="U196" s="24"/>
      <c r="V196" s="24"/>
      <c r="W196" s="24"/>
      <c r="X196" s="24"/>
      <c r="Y196" s="24"/>
      <c r="Z196" s="258"/>
      <c r="AA196" s="258"/>
      <c r="AB196" s="258"/>
      <c r="AC196" s="258"/>
      <c r="AD196" s="258"/>
      <c r="AE196" s="258"/>
      <c r="AF196" s="25">
        <f>SUM(N196:AC196)-O196</f>
        <v>1305.9000000000001</v>
      </c>
      <c r="AG196" s="24">
        <v>0</v>
      </c>
      <c r="AH196" s="24">
        <f>N196</f>
        <v>1305.9000000000001</v>
      </c>
      <c r="AI196" s="24">
        <f>AH196</f>
        <v>1305.9000000000001</v>
      </c>
    </row>
    <row r="197" spans="1:35" ht="51.75" customHeight="1" x14ac:dyDescent="0.25">
      <c r="A197" s="162"/>
      <c r="B197" s="160" t="s">
        <v>325</v>
      </c>
      <c r="C197" s="14" t="s">
        <v>123</v>
      </c>
      <c r="D197" s="12">
        <v>80010</v>
      </c>
      <c r="E197" s="12" t="s">
        <v>82</v>
      </c>
      <c r="F197" s="3" t="s">
        <v>137</v>
      </c>
      <c r="G197" s="17" t="s">
        <v>79</v>
      </c>
      <c r="H197" s="17" t="s">
        <v>69</v>
      </c>
      <c r="I197" s="17">
        <v>540</v>
      </c>
      <c r="J197" s="35">
        <v>45656</v>
      </c>
      <c r="K197" s="17">
        <v>540</v>
      </c>
      <c r="L197" s="17">
        <v>540</v>
      </c>
      <c r="M197" s="180"/>
      <c r="N197" s="24">
        <v>596.83000000000004</v>
      </c>
      <c r="O197" s="24">
        <v>0</v>
      </c>
      <c r="P197" s="31"/>
      <c r="Q197" s="24"/>
      <c r="R197" s="24"/>
      <c r="S197" s="24"/>
      <c r="T197" s="24"/>
      <c r="U197" s="24"/>
      <c r="V197" s="24"/>
      <c r="W197" s="24"/>
      <c r="X197" s="24"/>
      <c r="Y197" s="24"/>
      <c r="Z197" s="258"/>
      <c r="AA197" s="258"/>
      <c r="AB197" s="258"/>
      <c r="AC197" s="258"/>
      <c r="AD197" s="258"/>
      <c r="AE197" s="258"/>
      <c r="AF197" s="25">
        <f>SUM(N197:AC197)-O197</f>
        <v>596.83000000000004</v>
      </c>
      <c r="AG197" s="24">
        <v>0</v>
      </c>
      <c r="AH197" s="24">
        <f>N197</f>
        <v>596.83000000000004</v>
      </c>
      <c r="AI197" s="24">
        <f>AH197</f>
        <v>596.83000000000004</v>
      </c>
    </row>
    <row r="198" spans="1:35" ht="52.5" customHeight="1" x14ac:dyDescent="0.25">
      <c r="A198" s="162"/>
      <c r="B198" s="160" t="s">
        <v>326</v>
      </c>
      <c r="C198" s="14" t="s">
        <v>123</v>
      </c>
      <c r="D198" s="12">
        <v>80010</v>
      </c>
      <c r="E198" s="12" t="s">
        <v>82</v>
      </c>
      <c r="F198" s="3" t="s">
        <v>145</v>
      </c>
      <c r="G198" s="17" t="s">
        <v>146</v>
      </c>
      <c r="H198" s="17" t="s">
        <v>40</v>
      </c>
      <c r="I198" s="17">
        <v>276208.8</v>
      </c>
      <c r="J198" s="35">
        <v>45656</v>
      </c>
      <c r="K198" s="17">
        <f>I198</f>
        <v>276208.8</v>
      </c>
      <c r="L198" s="17">
        <f>K198</f>
        <v>276208.8</v>
      </c>
      <c r="M198" s="180"/>
      <c r="N198" s="24">
        <v>2845.1</v>
      </c>
      <c r="O198" s="24">
        <v>0</v>
      </c>
      <c r="P198" s="31"/>
      <c r="Q198" s="24"/>
      <c r="R198" s="24"/>
      <c r="S198" s="24"/>
      <c r="T198" s="24"/>
      <c r="U198" s="24"/>
      <c r="V198" s="24"/>
      <c r="W198" s="24"/>
      <c r="X198" s="24"/>
      <c r="Y198" s="24"/>
      <c r="Z198" s="258"/>
      <c r="AA198" s="258"/>
      <c r="AB198" s="258"/>
      <c r="AC198" s="258"/>
      <c r="AD198" s="258"/>
      <c r="AE198" s="258"/>
      <c r="AF198" s="25">
        <f>SUM(N198:AC198)-O198</f>
        <v>2845.1</v>
      </c>
      <c r="AG198" s="24">
        <v>0</v>
      </c>
      <c r="AH198" s="24">
        <f>N198</f>
        <v>2845.1</v>
      </c>
      <c r="AI198" s="24">
        <f>AH198</f>
        <v>2845.1</v>
      </c>
    </row>
    <row r="199" spans="1:35" ht="45.75" customHeight="1" x14ac:dyDescent="0.25">
      <c r="A199" s="162"/>
      <c r="B199" s="160" t="s">
        <v>327</v>
      </c>
      <c r="C199" s="14" t="s">
        <v>123</v>
      </c>
      <c r="D199" s="12">
        <v>80010</v>
      </c>
      <c r="E199" s="12" t="s">
        <v>107</v>
      </c>
      <c r="F199" s="3" t="s">
        <v>132</v>
      </c>
      <c r="G199" s="17" t="s">
        <v>80</v>
      </c>
      <c r="H199" s="17" t="s">
        <v>81</v>
      </c>
      <c r="I199" s="17">
        <v>9398.5</v>
      </c>
      <c r="J199" s="35">
        <v>45656</v>
      </c>
      <c r="K199" s="17">
        <v>9398.5</v>
      </c>
      <c r="L199" s="17">
        <v>9398.5</v>
      </c>
      <c r="M199" s="180"/>
      <c r="N199" s="24">
        <v>3535.32</v>
      </c>
      <c r="O199" s="24">
        <v>0</v>
      </c>
      <c r="P199" s="31"/>
      <c r="Q199" s="24"/>
      <c r="R199" s="24"/>
      <c r="S199" s="24"/>
      <c r="T199" s="24"/>
      <c r="U199" s="225">
        <v>-44.13</v>
      </c>
      <c r="V199" s="24"/>
      <c r="W199" s="24"/>
      <c r="X199" s="24">
        <v>-212.16</v>
      </c>
      <c r="Y199" s="24"/>
      <c r="Z199" s="258"/>
      <c r="AA199" s="258"/>
      <c r="AB199" s="258"/>
      <c r="AC199" s="258"/>
      <c r="AD199" s="258">
        <v>-53.3</v>
      </c>
      <c r="AE199" s="258">
        <v>-17.510000000000002</v>
      </c>
      <c r="AF199" s="25">
        <f>SUM(N199:AC199)-O199+AD199+AE199</f>
        <v>3208.22</v>
      </c>
      <c r="AG199" s="24">
        <v>0</v>
      </c>
      <c r="AH199" s="24">
        <v>3535.32</v>
      </c>
      <c r="AI199" s="24">
        <v>3535.32</v>
      </c>
    </row>
    <row r="200" spans="1:35" s="52" customFormat="1" ht="34.5" hidden="1" customHeight="1" x14ac:dyDescent="0.25">
      <c r="A200" s="161"/>
      <c r="B200" s="160" t="s">
        <v>328</v>
      </c>
      <c r="C200" s="115" t="s">
        <v>56</v>
      </c>
      <c r="D200" s="84"/>
      <c r="E200" s="84" t="s">
        <v>33</v>
      </c>
      <c r="F200" s="85" t="s">
        <v>214</v>
      </c>
      <c r="G200" s="84" t="s">
        <v>33</v>
      </c>
      <c r="H200" s="84" t="s">
        <v>33</v>
      </c>
      <c r="I200" s="86" t="s">
        <v>33</v>
      </c>
      <c r="J200" s="86" t="s">
        <v>33</v>
      </c>
      <c r="K200" s="86" t="s">
        <v>33</v>
      </c>
      <c r="L200" s="86" t="s">
        <v>33</v>
      </c>
      <c r="M200" s="178"/>
      <c r="N200" s="87">
        <f>N201+N202</f>
        <v>0</v>
      </c>
      <c r="O200" s="87">
        <f t="shared" ref="O200:AI200" si="187">O201+O202</f>
        <v>0</v>
      </c>
      <c r="P200" s="120">
        <f>P201+P202</f>
        <v>0</v>
      </c>
      <c r="Q200" s="87">
        <f>Q201+Q202</f>
        <v>0</v>
      </c>
      <c r="R200" s="87">
        <f>R201+R202</f>
        <v>0</v>
      </c>
      <c r="S200" s="87"/>
      <c r="T200" s="87">
        <f t="shared" ref="T200:AF200" si="188">T201+T202</f>
        <v>0</v>
      </c>
      <c r="U200" s="87">
        <f t="shared" si="188"/>
        <v>0</v>
      </c>
      <c r="V200" s="87">
        <f t="shared" si="188"/>
        <v>0</v>
      </c>
      <c r="W200" s="87">
        <f t="shared" si="188"/>
        <v>0</v>
      </c>
      <c r="X200" s="87">
        <f t="shared" si="188"/>
        <v>0</v>
      </c>
      <c r="Y200" s="87">
        <f t="shared" si="188"/>
        <v>0</v>
      </c>
      <c r="Z200" s="257">
        <f t="shared" si="188"/>
        <v>0</v>
      </c>
      <c r="AA200" s="257"/>
      <c r="AB200" s="257">
        <f t="shared" ref="AB200:AC200" si="189">AB201+AB202</f>
        <v>0</v>
      </c>
      <c r="AC200" s="257">
        <f t="shared" si="189"/>
        <v>0</v>
      </c>
      <c r="AD200" s="257"/>
      <c r="AE200" s="257"/>
      <c r="AF200" s="87">
        <f t="shared" si="188"/>
        <v>0</v>
      </c>
      <c r="AG200" s="87">
        <f t="shared" ref="AG200" si="190">AG201+AG202</f>
        <v>0</v>
      </c>
      <c r="AH200" s="87">
        <f t="shared" si="187"/>
        <v>0</v>
      </c>
      <c r="AI200" s="87">
        <f t="shared" si="187"/>
        <v>0</v>
      </c>
    </row>
    <row r="201" spans="1:35" ht="27" hidden="1" customHeight="1" x14ac:dyDescent="0.25">
      <c r="A201" s="162"/>
      <c r="C201" s="34" t="s">
        <v>56</v>
      </c>
      <c r="D201" s="17"/>
      <c r="E201" s="17" t="s">
        <v>107</v>
      </c>
      <c r="F201" s="18" t="s">
        <v>51</v>
      </c>
      <c r="G201" s="17" t="s">
        <v>79</v>
      </c>
      <c r="H201" s="17" t="s">
        <v>69</v>
      </c>
      <c r="I201" s="17">
        <v>0</v>
      </c>
      <c r="J201" s="17" t="s">
        <v>35</v>
      </c>
      <c r="K201" s="17">
        <v>0</v>
      </c>
      <c r="L201" s="17">
        <v>0</v>
      </c>
      <c r="M201" s="180"/>
      <c r="N201" s="25">
        <v>0</v>
      </c>
      <c r="O201" s="25">
        <v>0</v>
      </c>
      <c r="P201" s="188">
        <v>0</v>
      </c>
      <c r="Q201" s="25">
        <v>0</v>
      </c>
      <c r="R201" s="25">
        <v>0</v>
      </c>
      <c r="S201" s="25"/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9">
        <v>0</v>
      </c>
      <c r="AA201" s="259"/>
      <c r="AB201" s="259">
        <v>0</v>
      </c>
      <c r="AC201" s="259">
        <v>0</v>
      </c>
      <c r="AD201" s="259"/>
      <c r="AE201" s="259"/>
      <c r="AF201" s="25">
        <v>0</v>
      </c>
      <c r="AG201" s="25">
        <v>0</v>
      </c>
      <c r="AH201" s="25">
        <v>0</v>
      </c>
      <c r="AI201" s="25">
        <v>0</v>
      </c>
    </row>
    <row r="202" spans="1:35" ht="35.25" hidden="1" customHeight="1" x14ac:dyDescent="0.25">
      <c r="C202" s="15" t="s">
        <v>56</v>
      </c>
      <c r="D202" s="13"/>
      <c r="E202" s="12" t="s">
        <v>149</v>
      </c>
      <c r="F202" s="3" t="s">
        <v>51</v>
      </c>
      <c r="G202" s="17" t="s">
        <v>79</v>
      </c>
      <c r="H202" s="17" t="s">
        <v>69</v>
      </c>
      <c r="I202" s="12">
        <v>0</v>
      </c>
      <c r="J202" s="12" t="s">
        <v>35</v>
      </c>
      <c r="K202" s="12">
        <v>0</v>
      </c>
      <c r="L202" s="12">
        <v>0</v>
      </c>
      <c r="M202" s="174"/>
      <c r="N202" s="24">
        <v>0</v>
      </c>
      <c r="O202" s="24">
        <v>0</v>
      </c>
      <c r="P202" s="31">
        <v>0</v>
      </c>
      <c r="Q202" s="24">
        <v>0</v>
      </c>
      <c r="R202" s="24">
        <v>0</v>
      </c>
      <c r="S202" s="24"/>
      <c r="T202" s="24">
        <v>0</v>
      </c>
      <c r="U202" s="24">
        <v>0</v>
      </c>
      <c r="V202" s="24">
        <v>0</v>
      </c>
      <c r="W202" s="24">
        <v>0</v>
      </c>
      <c r="X202" s="24">
        <v>0</v>
      </c>
      <c r="Y202" s="24">
        <v>0</v>
      </c>
      <c r="Z202" s="258">
        <v>0</v>
      </c>
      <c r="AA202" s="258"/>
      <c r="AB202" s="258">
        <v>0</v>
      </c>
      <c r="AC202" s="258">
        <v>0</v>
      </c>
      <c r="AD202" s="258"/>
      <c r="AE202" s="258"/>
      <c r="AF202" s="24">
        <v>0</v>
      </c>
      <c r="AG202" s="24">
        <v>0</v>
      </c>
      <c r="AH202" s="24">
        <v>0</v>
      </c>
      <c r="AI202" s="24">
        <v>0</v>
      </c>
    </row>
    <row r="203" spans="1:35" s="52" customFormat="1" ht="22.5" hidden="1" customHeight="1" collapsed="1" x14ac:dyDescent="0.2">
      <c r="A203" s="161"/>
      <c r="B203" s="161"/>
      <c r="C203" s="95" t="s">
        <v>193</v>
      </c>
      <c r="D203" s="79" t="s">
        <v>33</v>
      </c>
      <c r="E203" s="79" t="s">
        <v>33</v>
      </c>
      <c r="F203" s="80" t="s">
        <v>164</v>
      </c>
      <c r="G203" s="79" t="s">
        <v>33</v>
      </c>
      <c r="H203" s="79" t="s">
        <v>33</v>
      </c>
      <c r="I203" s="81" t="s">
        <v>33</v>
      </c>
      <c r="J203" s="81" t="s">
        <v>33</v>
      </c>
      <c r="K203" s="81" t="s">
        <v>33</v>
      </c>
      <c r="L203" s="81" t="s">
        <v>33</v>
      </c>
      <c r="M203" s="176"/>
      <c r="N203" s="82">
        <f>N205+N207+N211</f>
        <v>0</v>
      </c>
      <c r="O203" s="82">
        <f t="shared" ref="O203:AI203" si="191">O205+O207+O211</f>
        <v>0</v>
      </c>
      <c r="P203" s="211">
        <f>P205+P207+P211</f>
        <v>0</v>
      </c>
      <c r="Q203" s="82">
        <f>Q205+Q207+Q211</f>
        <v>0</v>
      </c>
      <c r="R203" s="82">
        <f>R205+R207+R211</f>
        <v>0</v>
      </c>
      <c r="S203" s="82"/>
      <c r="T203" s="82">
        <f t="shared" ref="T203:AF203" si="192">T205+T207+T211</f>
        <v>0</v>
      </c>
      <c r="U203" s="82">
        <f t="shared" si="192"/>
        <v>0</v>
      </c>
      <c r="V203" s="82">
        <f t="shared" si="192"/>
        <v>0</v>
      </c>
      <c r="W203" s="82">
        <f t="shared" si="192"/>
        <v>0</v>
      </c>
      <c r="X203" s="82">
        <f t="shared" si="192"/>
        <v>0</v>
      </c>
      <c r="Y203" s="82">
        <f t="shared" si="192"/>
        <v>0</v>
      </c>
      <c r="Z203" s="255">
        <f t="shared" si="192"/>
        <v>0</v>
      </c>
      <c r="AA203" s="255"/>
      <c r="AB203" s="255">
        <f t="shared" ref="AB203:AC203" si="193">AB205+AB207+AB211</f>
        <v>0</v>
      </c>
      <c r="AC203" s="255">
        <f t="shared" si="193"/>
        <v>0</v>
      </c>
      <c r="AD203" s="255"/>
      <c r="AE203" s="255"/>
      <c r="AF203" s="82">
        <f t="shared" si="192"/>
        <v>0</v>
      </c>
      <c r="AG203" s="82">
        <f t="shared" ref="AG203" si="194">AG205+AG207+AG211</f>
        <v>0</v>
      </c>
      <c r="AH203" s="82">
        <f t="shared" si="191"/>
        <v>0</v>
      </c>
      <c r="AI203" s="82">
        <f t="shared" si="191"/>
        <v>0</v>
      </c>
    </row>
    <row r="204" spans="1:35" s="52" customFormat="1" ht="37.5" hidden="1" customHeight="1" x14ac:dyDescent="0.2">
      <c r="A204" s="161"/>
      <c r="B204" s="161"/>
      <c r="C204" s="130" t="s">
        <v>193</v>
      </c>
      <c r="D204" s="126"/>
      <c r="E204" s="126" t="s">
        <v>33</v>
      </c>
      <c r="F204" s="127" t="s">
        <v>237</v>
      </c>
      <c r="G204" s="126" t="s">
        <v>33</v>
      </c>
      <c r="H204" s="126" t="s">
        <v>33</v>
      </c>
      <c r="I204" s="128" t="s">
        <v>33</v>
      </c>
      <c r="J204" s="128" t="s">
        <v>33</v>
      </c>
      <c r="K204" s="128" t="s">
        <v>33</v>
      </c>
      <c r="L204" s="128" t="s">
        <v>33</v>
      </c>
      <c r="M204" s="177"/>
      <c r="N204" s="129">
        <f>N205+N207+N211</f>
        <v>0</v>
      </c>
      <c r="O204" s="129">
        <f t="shared" ref="O204:AI204" si="195">O205+O207+O211</f>
        <v>0</v>
      </c>
      <c r="P204" s="211">
        <f>P205+P207+P211</f>
        <v>0</v>
      </c>
      <c r="Q204" s="129">
        <f>Q205+Q207+Q211</f>
        <v>0</v>
      </c>
      <c r="R204" s="129">
        <f>R205+R207+R211</f>
        <v>0</v>
      </c>
      <c r="S204" s="129"/>
      <c r="T204" s="129">
        <f t="shared" ref="T204:AF204" si="196">T205+T207+T211</f>
        <v>0</v>
      </c>
      <c r="U204" s="129">
        <f t="shared" si="196"/>
        <v>0</v>
      </c>
      <c r="V204" s="129">
        <f t="shared" si="196"/>
        <v>0</v>
      </c>
      <c r="W204" s="129">
        <f t="shared" si="196"/>
        <v>0</v>
      </c>
      <c r="X204" s="129">
        <f t="shared" si="196"/>
        <v>0</v>
      </c>
      <c r="Y204" s="129">
        <f t="shared" si="196"/>
        <v>0</v>
      </c>
      <c r="Z204" s="256">
        <f t="shared" si="196"/>
        <v>0</v>
      </c>
      <c r="AA204" s="256"/>
      <c r="AB204" s="256">
        <f t="shared" ref="AB204:AC204" si="197">AB205+AB207+AB211</f>
        <v>0</v>
      </c>
      <c r="AC204" s="256">
        <f t="shared" si="197"/>
        <v>0</v>
      </c>
      <c r="AD204" s="256"/>
      <c r="AE204" s="256"/>
      <c r="AF204" s="129">
        <f t="shared" si="196"/>
        <v>0</v>
      </c>
      <c r="AG204" s="129">
        <f t="shared" ref="AG204" si="198">AG205+AG207+AG211</f>
        <v>0</v>
      </c>
      <c r="AH204" s="129">
        <f t="shared" si="195"/>
        <v>0</v>
      </c>
      <c r="AI204" s="129">
        <f t="shared" si="195"/>
        <v>0</v>
      </c>
    </row>
    <row r="205" spans="1:35" s="52" customFormat="1" ht="22.5" hidden="1" customHeight="1" x14ac:dyDescent="0.2">
      <c r="A205" s="161"/>
      <c r="B205" s="161"/>
      <c r="C205" s="115" t="s">
        <v>193</v>
      </c>
      <c r="D205" s="84"/>
      <c r="E205" s="84" t="s">
        <v>33</v>
      </c>
      <c r="F205" s="85" t="s">
        <v>216</v>
      </c>
      <c r="G205" s="84" t="s">
        <v>33</v>
      </c>
      <c r="H205" s="84" t="s">
        <v>33</v>
      </c>
      <c r="I205" s="86" t="s">
        <v>33</v>
      </c>
      <c r="J205" s="86" t="s">
        <v>33</v>
      </c>
      <c r="K205" s="86" t="s">
        <v>33</v>
      </c>
      <c r="L205" s="86" t="s">
        <v>33</v>
      </c>
      <c r="M205" s="178"/>
      <c r="N205" s="87">
        <f>N206+N208</f>
        <v>0</v>
      </c>
      <c r="O205" s="87">
        <f t="shared" ref="O205" si="199">O206+O208</f>
        <v>0</v>
      </c>
      <c r="P205" s="120">
        <f>P206+P208</f>
        <v>0</v>
      </c>
      <c r="Q205" s="87">
        <f>Q206+Q208</f>
        <v>0</v>
      </c>
      <c r="R205" s="87">
        <f>R206+R208</f>
        <v>0</v>
      </c>
      <c r="S205" s="87"/>
      <c r="T205" s="87">
        <f t="shared" ref="T205:AF205" si="200">T206+T208</f>
        <v>0</v>
      </c>
      <c r="U205" s="87">
        <f t="shared" si="200"/>
        <v>0</v>
      </c>
      <c r="V205" s="87">
        <f t="shared" si="200"/>
        <v>0</v>
      </c>
      <c r="W205" s="87">
        <f t="shared" si="200"/>
        <v>0</v>
      </c>
      <c r="X205" s="87">
        <f t="shared" si="200"/>
        <v>0</v>
      </c>
      <c r="Y205" s="87">
        <f t="shared" si="200"/>
        <v>0</v>
      </c>
      <c r="Z205" s="257">
        <f t="shared" si="200"/>
        <v>0</v>
      </c>
      <c r="AA205" s="257"/>
      <c r="AB205" s="257">
        <f t="shared" ref="AB205:AC205" si="201">AB206+AB208</f>
        <v>0</v>
      </c>
      <c r="AC205" s="257">
        <f t="shared" si="201"/>
        <v>0</v>
      </c>
      <c r="AD205" s="257"/>
      <c r="AE205" s="257"/>
      <c r="AF205" s="87">
        <f t="shared" si="200"/>
        <v>0</v>
      </c>
      <c r="AG205" s="87">
        <f t="shared" ref="AG205" si="202">AG206+AG208</f>
        <v>0</v>
      </c>
      <c r="AH205" s="87">
        <f t="shared" ref="AH205" si="203">AH206+AH208</f>
        <v>0</v>
      </c>
      <c r="AI205" s="87">
        <f t="shared" ref="AI205" si="204">AI206+AI208</f>
        <v>0</v>
      </c>
    </row>
    <row r="206" spans="1:35" s="52" customFormat="1" ht="21.75" hidden="1" customHeight="1" x14ac:dyDescent="0.2">
      <c r="A206" s="161"/>
      <c r="B206" s="161"/>
      <c r="C206" s="15" t="s">
        <v>193</v>
      </c>
      <c r="D206" s="61"/>
      <c r="E206" s="12" t="s">
        <v>107</v>
      </c>
      <c r="F206" s="3" t="s">
        <v>215</v>
      </c>
      <c r="G206" s="12" t="s">
        <v>35</v>
      </c>
      <c r="H206" s="12" t="s">
        <v>35</v>
      </c>
      <c r="I206" s="33" t="s">
        <v>35</v>
      </c>
      <c r="J206" s="33" t="s">
        <v>35</v>
      </c>
      <c r="K206" s="33" t="s">
        <v>35</v>
      </c>
      <c r="L206" s="33" t="s">
        <v>35</v>
      </c>
      <c r="M206" s="179"/>
      <c r="N206" s="24">
        <v>0</v>
      </c>
      <c r="O206" s="24">
        <v>0</v>
      </c>
      <c r="P206" s="31">
        <v>0</v>
      </c>
      <c r="Q206" s="24">
        <v>0</v>
      </c>
      <c r="R206" s="24">
        <v>0</v>
      </c>
      <c r="S206" s="24"/>
      <c r="T206" s="24">
        <v>0</v>
      </c>
      <c r="U206" s="24">
        <v>0</v>
      </c>
      <c r="V206" s="24">
        <v>0</v>
      </c>
      <c r="W206" s="24">
        <v>0</v>
      </c>
      <c r="X206" s="24">
        <v>0</v>
      </c>
      <c r="Y206" s="24">
        <v>0</v>
      </c>
      <c r="Z206" s="258">
        <v>0</v>
      </c>
      <c r="AA206" s="258"/>
      <c r="AB206" s="258">
        <v>0</v>
      </c>
      <c r="AC206" s="258">
        <v>0</v>
      </c>
      <c r="AD206" s="258"/>
      <c r="AE206" s="258"/>
      <c r="AF206" s="24">
        <v>0</v>
      </c>
      <c r="AG206" s="24">
        <v>0</v>
      </c>
      <c r="AH206" s="24">
        <v>0</v>
      </c>
      <c r="AI206" s="24">
        <v>0</v>
      </c>
    </row>
    <row r="207" spans="1:35" s="52" customFormat="1" ht="36.75" hidden="1" customHeight="1" x14ac:dyDescent="0.2">
      <c r="A207" s="161"/>
      <c r="B207" s="161"/>
      <c r="C207" s="115" t="s">
        <v>193</v>
      </c>
      <c r="D207" s="84"/>
      <c r="E207" s="84" t="s">
        <v>33</v>
      </c>
      <c r="F207" s="85" t="s">
        <v>217</v>
      </c>
      <c r="G207" s="84" t="s">
        <v>33</v>
      </c>
      <c r="H207" s="84" t="s">
        <v>33</v>
      </c>
      <c r="I207" s="86" t="s">
        <v>33</v>
      </c>
      <c r="J207" s="86" t="s">
        <v>33</v>
      </c>
      <c r="K207" s="86" t="s">
        <v>33</v>
      </c>
      <c r="L207" s="86" t="s">
        <v>33</v>
      </c>
      <c r="M207" s="178"/>
      <c r="N207" s="87">
        <f>SUM(N208:N210)</f>
        <v>0</v>
      </c>
      <c r="O207" s="87">
        <f t="shared" ref="O207:AI207" si="205">SUM(O208:O210)</f>
        <v>0</v>
      </c>
      <c r="P207" s="120">
        <f>SUM(P208:P210)</f>
        <v>0</v>
      </c>
      <c r="Q207" s="87">
        <f>SUM(Q208:Q210)</f>
        <v>0</v>
      </c>
      <c r="R207" s="87">
        <f>SUM(R208:R210)</f>
        <v>0</v>
      </c>
      <c r="S207" s="87"/>
      <c r="T207" s="87">
        <f t="shared" ref="T207:AF207" si="206">SUM(T208:T210)</f>
        <v>0</v>
      </c>
      <c r="U207" s="87">
        <f t="shared" si="206"/>
        <v>0</v>
      </c>
      <c r="V207" s="87">
        <f t="shared" si="206"/>
        <v>0</v>
      </c>
      <c r="W207" s="87">
        <f t="shared" si="206"/>
        <v>0</v>
      </c>
      <c r="X207" s="87">
        <f t="shared" si="206"/>
        <v>0</v>
      </c>
      <c r="Y207" s="87">
        <f t="shared" si="206"/>
        <v>0</v>
      </c>
      <c r="Z207" s="257">
        <f t="shared" si="206"/>
        <v>0</v>
      </c>
      <c r="AA207" s="257"/>
      <c r="AB207" s="257">
        <f t="shared" ref="AB207:AC207" si="207">SUM(AB208:AB210)</f>
        <v>0</v>
      </c>
      <c r="AC207" s="257">
        <f t="shared" si="207"/>
        <v>0</v>
      </c>
      <c r="AD207" s="257"/>
      <c r="AE207" s="257"/>
      <c r="AF207" s="87">
        <f t="shared" si="206"/>
        <v>0</v>
      </c>
      <c r="AG207" s="87">
        <f t="shared" ref="AG207" si="208">SUM(AG208:AG210)</f>
        <v>0</v>
      </c>
      <c r="AH207" s="87">
        <f t="shared" si="205"/>
        <v>0</v>
      </c>
      <c r="AI207" s="87">
        <f t="shared" si="205"/>
        <v>0</v>
      </c>
    </row>
    <row r="208" spans="1:35" s="52" customFormat="1" ht="25.5" hidden="1" customHeight="1" x14ac:dyDescent="0.2">
      <c r="A208" s="161"/>
      <c r="B208" s="161"/>
      <c r="C208" s="15" t="s">
        <v>193</v>
      </c>
      <c r="D208" s="61"/>
      <c r="E208" s="12" t="s">
        <v>107</v>
      </c>
      <c r="F208" s="3" t="s">
        <v>125</v>
      </c>
      <c r="G208" s="12" t="s">
        <v>35</v>
      </c>
      <c r="H208" s="12" t="s">
        <v>35</v>
      </c>
      <c r="I208" s="33" t="s">
        <v>35</v>
      </c>
      <c r="J208" s="33" t="s">
        <v>35</v>
      </c>
      <c r="K208" s="33" t="s">
        <v>35</v>
      </c>
      <c r="L208" s="33" t="s">
        <v>35</v>
      </c>
      <c r="M208" s="179"/>
      <c r="N208" s="24">
        <v>0</v>
      </c>
      <c r="O208" s="24">
        <v>0</v>
      </c>
      <c r="P208" s="31">
        <v>0</v>
      </c>
      <c r="Q208" s="24">
        <v>0</v>
      </c>
      <c r="R208" s="24">
        <v>0</v>
      </c>
      <c r="S208" s="24"/>
      <c r="T208" s="24">
        <v>0</v>
      </c>
      <c r="U208" s="24">
        <v>0</v>
      </c>
      <c r="V208" s="24">
        <v>0</v>
      </c>
      <c r="W208" s="24">
        <v>0</v>
      </c>
      <c r="X208" s="24">
        <v>0</v>
      </c>
      <c r="Y208" s="24">
        <v>0</v>
      </c>
      <c r="Z208" s="258">
        <v>0</v>
      </c>
      <c r="AA208" s="258"/>
      <c r="AB208" s="258">
        <v>0</v>
      </c>
      <c r="AC208" s="258">
        <v>0</v>
      </c>
      <c r="AD208" s="258"/>
      <c r="AE208" s="258"/>
      <c r="AF208" s="24">
        <v>0</v>
      </c>
      <c r="AG208" s="24">
        <v>0</v>
      </c>
      <c r="AH208" s="24">
        <v>0</v>
      </c>
      <c r="AI208" s="24">
        <v>0</v>
      </c>
    </row>
    <row r="209" spans="1:35" ht="15" hidden="1" customHeight="1" x14ac:dyDescent="0.25"/>
    <row r="210" spans="1:35" s="52" customFormat="1" ht="45.75" hidden="1" customHeight="1" x14ac:dyDescent="0.2">
      <c r="A210" s="161"/>
      <c r="B210" s="161"/>
      <c r="C210" s="47" t="s">
        <v>193</v>
      </c>
      <c r="D210" s="61"/>
      <c r="E210" s="12" t="s">
        <v>107</v>
      </c>
      <c r="F210" s="3" t="s">
        <v>126</v>
      </c>
      <c r="G210" s="61" t="s">
        <v>35</v>
      </c>
      <c r="H210" s="61" t="s">
        <v>35</v>
      </c>
      <c r="I210" s="63" t="s">
        <v>35</v>
      </c>
      <c r="J210" s="63" t="s">
        <v>35</v>
      </c>
      <c r="K210" s="63" t="s">
        <v>35</v>
      </c>
      <c r="L210" s="63" t="s">
        <v>35</v>
      </c>
      <c r="M210" s="175"/>
      <c r="N210" s="64">
        <v>0</v>
      </c>
      <c r="O210" s="64">
        <v>0</v>
      </c>
      <c r="P210" s="211">
        <v>0</v>
      </c>
      <c r="Q210" s="64">
        <v>0</v>
      </c>
      <c r="R210" s="64">
        <v>0</v>
      </c>
      <c r="S210" s="64"/>
      <c r="T210" s="64">
        <v>0</v>
      </c>
      <c r="U210" s="64">
        <v>0</v>
      </c>
      <c r="V210" s="64">
        <v>0</v>
      </c>
      <c r="W210" s="64">
        <v>0</v>
      </c>
      <c r="X210" s="64">
        <v>0</v>
      </c>
      <c r="Y210" s="64">
        <v>0</v>
      </c>
      <c r="Z210" s="252">
        <v>0</v>
      </c>
      <c r="AA210" s="252"/>
      <c r="AB210" s="252">
        <v>0</v>
      </c>
      <c r="AC210" s="252">
        <v>0</v>
      </c>
      <c r="AD210" s="252"/>
      <c r="AE210" s="252"/>
      <c r="AF210" s="64">
        <v>0</v>
      </c>
      <c r="AG210" s="64">
        <v>0</v>
      </c>
      <c r="AH210" s="64">
        <v>0</v>
      </c>
      <c r="AI210" s="64">
        <v>0</v>
      </c>
    </row>
    <row r="211" spans="1:35" s="52" customFormat="1" ht="24.75" hidden="1" customHeight="1" x14ac:dyDescent="0.2">
      <c r="A211" s="161"/>
      <c r="B211" s="161"/>
      <c r="C211" s="115" t="s">
        <v>193</v>
      </c>
      <c r="D211" s="84"/>
      <c r="E211" s="84" t="s">
        <v>33</v>
      </c>
      <c r="F211" s="85" t="s">
        <v>218</v>
      </c>
      <c r="G211" s="84" t="s">
        <v>33</v>
      </c>
      <c r="H211" s="84" t="s">
        <v>33</v>
      </c>
      <c r="I211" s="86" t="s">
        <v>33</v>
      </c>
      <c r="J211" s="86" t="s">
        <v>33</v>
      </c>
      <c r="K211" s="86" t="s">
        <v>33</v>
      </c>
      <c r="L211" s="86" t="s">
        <v>33</v>
      </c>
      <c r="M211" s="178"/>
      <c r="N211" s="87">
        <f>N212+N213</f>
        <v>0</v>
      </c>
      <c r="O211" s="87">
        <f t="shared" ref="O211:AI211" si="209">O212+O213</f>
        <v>0</v>
      </c>
      <c r="P211" s="120">
        <f>P212+P213</f>
        <v>0</v>
      </c>
      <c r="Q211" s="87">
        <f>Q212+Q213</f>
        <v>0</v>
      </c>
      <c r="R211" s="87">
        <f>R212+R213</f>
        <v>0</v>
      </c>
      <c r="S211" s="87"/>
      <c r="T211" s="87">
        <f t="shared" ref="T211:AF211" si="210">T212+T213</f>
        <v>0</v>
      </c>
      <c r="U211" s="87">
        <f t="shared" si="210"/>
        <v>0</v>
      </c>
      <c r="V211" s="87">
        <f t="shared" si="210"/>
        <v>0</v>
      </c>
      <c r="W211" s="87">
        <f t="shared" si="210"/>
        <v>0</v>
      </c>
      <c r="X211" s="87">
        <f>X212+X213</f>
        <v>0</v>
      </c>
      <c r="Y211" s="87">
        <f t="shared" si="210"/>
        <v>0</v>
      </c>
      <c r="Z211" s="257">
        <f t="shared" si="210"/>
        <v>0</v>
      </c>
      <c r="AA211" s="257"/>
      <c r="AB211" s="257">
        <f>AB212+AB213</f>
        <v>0</v>
      </c>
      <c r="AC211" s="257">
        <f t="shared" ref="AC211" si="211">AC212+AC213</f>
        <v>0</v>
      </c>
      <c r="AD211" s="257"/>
      <c r="AE211" s="257"/>
      <c r="AF211" s="87">
        <f t="shared" si="210"/>
        <v>0</v>
      </c>
      <c r="AG211" s="87">
        <f t="shared" ref="AG211" si="212">AG212+AG213</f>
        <v>0</v>
      </c>
      <c r="AH211" s="87">
        <f t="shared" si="209"/>
        <v>0</v>
      </c>
      <c r="AI211" s="87">
        <f t="shared" si="209"/>
        <v>0</v>
      </c>
    </row>
    <row r="212" spans="1:35" s="52" customFormat="1" ht="26.25" hidden="1" customHeight="1" x14ac:dyDescent="0.2">
      <c r="A212" s="161"/>
      <c r="B212" s="161"/>
      <c r="C212" s="47" t="s">
        <v>193</v>
      </c>
      <c r="D212" s="61"/>
      <c r="E212" s="12" t="s">
        <v>107</v>
      </c>
      <c r="F212" s="3" t="s">
        <v>153</v>
      </c>
      <c r="G212" s="61" t="s">
        <v>35</v>
      </c>
      <c r="H212" s="61" t="s">
        <v>35</v>
      </c>
      <c r="I212" s="63" t="s">
        <v>35</v>
      </c>
      <c r="J212" s="63" t="s">
        <v>35</v>
      </c>
      <c r="K212" s="63" t="s">
        <v>35</v>
      </c>
      <c r="L212" s="63" t="s">
        <v>35</v>
      </c>
      <c r="M212" s="175"/>
      <c r="N212" s="64">
        <v>0</v>
      </c>
      <c r="O212" s="64">
        <v>0</v>
      </c>
      <c r="P212" s="211">
        <v>0</v>
      </c>
      <c r="Q212" s="64">
        <v>0</v>
      </c>
      <c r="R212" s="64">
        <v>0</v>
      </c>
      <c r="S212" s="64"/>
      <c r="T212" s="64">
        <v>0</v>
      </c>
      <c r="U212" s="64">
        <v>0</v>
      </c>
      <c r="V212" s="64">
        <v>0</v>
      </c>
      <c r="W212" s="64">
        <v>0</v>
      </c>
      <c r="X212" s="64">
        <v>0</v>
      </c>
      <c r="Y212" s="64">
        <v>0</v>
      </c>
      <c r="Z212" s="252">
        <v>0</v>
      </c>
      <c r="AA212" s="252"/>
      <c r="AB212" s="252">
        <v>0</v>
      </c>
      <c r="AC212" s="252">
        <v>0</v>
      </c>
      <c r="AD212" s="252"/>
      <c r="AE212" s="252"/>
      <c r="AF212" s="64">
        <v>0</v>
      </c>
      <c r="AG212" s="64">
        <v>0</v>
      </c>
      <c r="AH212" s="64">
        <v>0</v>
      </c>
      <c r="AI212" s="64">
        <v>0</v>
      </c>
    </row>
    <row r="213" spans="1:35" s="52" customFormat="1" ht="33" hidden="1" customHeight="1" x14ac:dyDescent="0.2">
      <c r="A213" s="161"/>
      <c r="B213" s="161"/>
      <c r="C213" s="47" t="s">
        <v>193</v>
      </c>
      <c r="D213" s="61"/>
      <c r="E213" s="12" t="s">
        <v>107</v>
      </c>
      <c r="F213" s="218" t="s">
        <v>136</v>
      </c>
      <c r="G213" s="219" t="s">
        <v>35</v>
      </c>
      <c r="H213" s="219" t="s">
        <v>35</v>
      </c>
      <c r="I213" s="220" t="s">
        <v>35</v>
      </c>
      <c r="J213" s="220" t="s">
        <v>35</v>
      </c>
      <c r="K213" s="220" t="s">
        <v>35</v>
      </c>
      <c r="L213" s="220" t="s">
        <v>35</v>
      </c>
      <c r="M213" s="175"/>
      <c r="N213" s="221">
        <v>0</v>
      </c>
      <c r="O213" s="221">
        <v>0</v>
      </c>
      <c r="P213" s="222">
        <v>0</v>
      </c>
      <c r="Q213" s="221">
        <v>0</v>
      </c>
      <c r="R213" s="221">
        <v>0</v>
      </c>
      <c r="S213" s="221"/>
      <c r="T213" s="221">
        <v>0</v>
      </c>
      <c r="U213" s="221">
        <v>0</v>
      </c>
      <c r="V213" s="64">
        <v>0</v>
      </c>
      <c r="W213" s="64">
        <v>0</v>
      </c>
      <c r="X213" s="64">
        <v>0</v>
      </c>
      <c r="Y213" s="64">
        <v>0</v>
      </c>
      <c r="Z213" s="252">
        <v>0</v>
      </c>
      <c r="AA213" s="252"/>
      <c r="AB213" s="252">
        <v>0</v>
      </c>
      <c r="AC213" s="252">
        <v>0</v>
      </c>
      <c r="AD213" s="252"/>
      <c r="AE213" s="252"/>
      <c r="AF213" s="64">
        <v>0</v>
      </c>
      <c r="AG213" s="64">
        <v>0</v>
      </c>
      <c r="AH213" s="64">
        <v>0</v>
      </c>
      <c r="AI213" s="64">
        <v>0</v>
      </c>
    </row>
    <row r="214" spans="1:35" s="11" customFormat="1" ht="41.25" customHeight="1" collapsed="1" x14ac:dyDescent="0.25">
      <c r="A214" s="166"/>
      <c r="B214" s="166" t="s">
        <v>328</v>
      </c>
      <c r="C214" s="228" t="s">
        <v>123</v>
      </c>
      <c r="D214" s="21">
        <v>80010</v>
      </c>
      <c r="E214" s="21" t="s">
        <v>107</v>
      </c>
      <c r="F214" s="22" t="s">
        <v>385</v>
      </c>
      <c r="G214" s="245" t="s">
        <v>79</v>
      </c>
      <c r="H214" s="21" t="s">
        <v>69</v>
      </c>
      <c r="I214" s="21">
        <v>1</v>
      </c>
      <c r="J214" s="233">
        <v>45656</v>
      </c>
      <c r="K214" s="21">
        <v>0</v>
      </c>
      <c r="L214" s="21">
        <v>0</v>
      </c>
      <c r="M214" s="21"/>
      <c r="N214" s="26"/>
      <c r="O214" s="26"/>
      <c r="P214" s="217"/>
      <c r="Q214" s="26"/>
      <c r="R214" s="26">
        <v>988.69</v>
      </c>
      <c r="S214" s="26"/>
      <c r="T214" s="26"/>
      <c r="U214" s="26"/>
      <c r="V214" s="26"/>
      <c r="W214" s="26"/>
      <c r="X214" s="26"/>
      <c r="Y214" s="26"/>
      <c r="Z214" s="263"/>
      <c r="AA214" s="263"/>
      <c r="AB214" s="263"/>
      <c r="AC214" s="263"/>
      <c r="AD214" s="263"/>
      <c r="AE214" s="263"/>
      <c r="AF214" s="26">
        <f>SUM(N214:AC214)-O214</f>
        <v>988.69</v>
      </c>
      <c r="AG214" s="26">
        <v>0</v>
      </c>
      <c r="AH214" s="26">
        <v>0</v>
      </c>
      <c r="AI214" s="26">
        <v>0</v>
      </c>
    </row>
    <row r="215" spans="1:35" x14ac:dyDescent="0.25">
      <c r="B215" s="166" t="s">
        <v>431</v>
      </c>
      <c r="C215" s="228" t="s">
        <v>123</v>
      </c>
      <c r="D215" s="21">
        <v>80010</v>
      </c>
      <c r="E215" s="21" t="s">
        <v>107</v>
      </c>
      <c r="F215" s="22" t="s">
        <v>413</v>
      </c>
      <c r="G215" s="245" t="s">
        <v>438</v>
      </c>
      <c r="H215" s="21" t="s">
        <v>437</v>
      </c>
      <c r="I215" s="21">
        <v>86.5</v>
      </c>
      <c r="J215" s="233">
        <v>45656</v>
      </c>
      <c r="K215" s="21">
        <v>0</v>
      </c>
      <c r="L215" s="21">
        <v>0</v>
      </c>
      <c r="M215" s="21"/>
      <c r="N215" s="26"/>
      <c r="O215" s="26"/>
      <c r="P215" s="217"/>
      <c r="Q215" s="26"/>
      <c r="R215" s="26"/>
      <c r="S215" s="26"/>
      <c r="T215" s="26"/>
      <c r="U215" s="26"/>
      <c r="V215" s="26"/>
      <c r="W215" s="26"/>
      <c r="X215" s="26">
        <v>29</v>
      </c>
      <c r="Y215" s="26"/>
      <c r="Z215" s="263"/>
      <c r="AA215" s="263"/>
      <c r="AB215" s="263"/>
      <c r="AC215" s="263"/>
      <c r="AD215" s="263"/>
      <c r="AE215" s="263"/>
      <c r="AF215" s="26">
        <f>SUM(N215:AC215)-O215</f>
        <v>29</v>
      </c>
      <c r="AG215" s="26">
        <v>0</v>
      </c>
      <c r="AH215" s="26">
        <v>0</v>
      </c>
      <c r="AI215" s="26">
        <v>0</v>
      </c>
    </row>
    <row r="216" spans="1:35" x14ac:dyDescent="0.25">
      <c r="B216" s="166" t="s">
        <v>432</v>
      </c>
      <c r="C216" s="228" t="s">
        <v>123</v>
      </c>
      <c r="D216" s="21">
        <v>80010</v>
      </c>
      <c r="E216" s="21" t="s">
        <v>107</v>
      </c>
      <c r="F216" s="22" t="s">
        <v>414</v>
      </c>
      <c r="G216" s="245" t="s">
        <v>79</v>
      </c>
      <c r="H216" s="21" t="s">
        <v>69</v>
      </c>
      <c r="I216" s="17">
        <v>2</v>
      </c>
      <c r="J216" s="233">
        <v>45656</v>
      </c>
      <c r="K216" s="21"/>
      <c r="L216" s="21"/>
      <c r="M216" s="21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>
        <f>151+32.16</f>
        <v>183.16</v>
      </c>
      <c r="Y216" s="26"/>
      <c r="Z216" s="263"/>
      <c r="AA216" s="258"/>
      <c r="AB216" s="263">
        <v>352.43</v>
      </c>
      <c r="AC216" s="263"/>
      <c r="AD216" s="263"/>
      <c r="AE216" s="263"/>
      <c r="AF216" s="26">
        <f>SUM(N216:AC216)-O216</f>
        <v>535.59</v>
      </c>
      <c r="AG216" s="26">
        <v>0</v>
      </c>
      <c r="AH216" s="26">
        <v>0</v>
      </c>
      <c r="AI216" s="24">
        <v>0</v>
      </c>
    </row>
    <row r="217" spans="1:35" s="52" customFormat="1" ht="83.25" customHeight="1" x14ac:dyDescent="0.25">
      <c r="A217" s="161"/>
      <c r="B217" s="166" t="s">
        <v>448</v>
      </c>
      <c r="C217" s="15" t="s">
        <v>123</v>
      </c>
      <c r="D217" s="61"/>
      <c r="E217" s="12" t="s">
        <v>107</v>
      </c>
      <c r="F217" s="3" t="s">
        <v>443</v>
      </c>
      <c r="G217" s="17" t="s">
        <v>79</v>
      </c>
      <c r="H217" s="17" t="s">
        <v>69</v>
      </c>
      <c r="I217" s="17">
        <v>1</v>
      </c>
      <c r="J217" s="35">
        <v>45656</v>
      </c>
      <c r="K217" s="17">
        <v>0</v>
      </c>
      <c r="L217" s="17">
        <v>0</v>
      </c>
      <c r="M217" s="180"/>
      <c r="N217" s="24"/>
      <c r="O217" s="24">
        <v>0</v>
      </c>
      <c r="P217" s="24"/>
      <c r="Q217" s="24"/>
      <c r="R217" s="24"/>
      <c r="S217" s="24"/>
      <c r="T217" s="24"/>
      <c r="U217" s="201"/>
      <c r="V217" s="24"/>
      <c r="W217" s="24"/>
      <c r="X217" s="24"/>
      <c r="Y217" s="24"/>
      <c r="Z217" s="258"/>
      <c r="AA217" s="258"/>
      <c r="AB217" s="258">
        <v>320</v>
      </c>
      <c r="AC217" s="258"/>
      <c r="AD217" s="258"/>
      <c r="AE217" s="258"/>
      <c r="AF217" s="26">
        <f>SUM(N217:AC217)-O217</f>
        <v>320</v>
      </c>
      <c r="AG217" s="24">
        <v>0</v>
      </c>
      <c r="AH217" s="24">
        <v>0</v>
      </c>
      <c r="AI217" s="24">
        <v>0</v>
      </c>
    </row>
  </sheetData>
  <mergeCells count="38">
    <mergeCell ref="N2:AI5"/>
    <mergeCell ref="N9:O9"/>
    <mergeCell ref="N10:N11"/>
    <mergeCell ref="N8:AI8"/>
    <mergeCell ref="AH9:AH11"/>
    <mergeCell ref="AI9:AI11"/>
    <mergeCell ref="AF9:AG9"/>
    <mergeCell ref="AF10:AF11"/>
    <mergeCell ref="P10:P11"/>
    <mergeCell ref="Q10:Q11"/>
    <mergeCell ref="AC10:AC11"/>
    <mergeCell ref="R10:R11"/>
    <mergeCell ref="Y10:Y11"/>
    <mergeCell ref="AB10:AB11"/>
    <mergeCell ref="S10:S11"/>
    <mergeCell ref="R9:S9"/>
    <mergeCell ref="C4:L4"/>
    <mergeCell ref="C5:L5"/>
    <mergeCell ref="C6:L6"/>
    <mergeCell ref="C8:C11"/>
    <mergeCell ref="D8:D11"/>
    <mergeCell ref="E8:E11"/>
    <mergeCell ref="F8:F11"/>
    <mergeCell ref="G8:L8"/>
    <mergeCell ref="I10:J10"/>
    <mergeCell ref="K10:K11"/>
    <mergeCell ref="L10:L11"/>
    <mergeCell ref="G9:G11"/>
    <mergeCell ref="H9:H11"/>
    <mergeCell ref="I9:L9"/>
    <mergeCell ref="AB9:AC9"/>
    <mergeCell ref="T10:T11"/>
    <mergeCell ref="U10:U11"/>
    <mergeCell ref="X10:X11"/>
    <mergeCell ref="X9:Z9"/>
    <mergeCell ref="Z10:Z11"/>
    <mergeCell ref="W10:W11"/>
    <mergeCell ref="V10:V11"/>
  </mergeCells>
  <phoneticPr fontId="3" type="noConversion"/>
  <pageMargins left="0" right="0.11811023622047245" top="0.74803149606299213" bottom="0.15748031496062992" header="0.31496062992125984" footer="0.31496062992125984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5:M25"/>
  <sheetViews>
    <sheetView workbookViewId="0">
      <selection activeCell="J21" sqref="J21"/>
    </sheetView>
  </sheetViews>
  <sheetFormatPr defaultRowHeight="15" x14ac:dyDescent="0.25"/>
  <cols>
    <col min="6" max="6" width="43.7109375" customWidth="1"/>
    <col min="9" max="9" width="20.7109375" customWidth="1"/>
    <col min="10" max="10" width="10.5703125" bestFit="1" customWidth="1"/>
    <col min="11" max="11" width="12.140625" customWidth="1"/>
    <col min="12" max="12" width="14" customWidth="1"/>
    <col min="13" max="13" width="12.42578125" customWidth="1"/>
  </cols>
  <sheetData>
    <row r="5" spans="5:6" x14ac:dyDescent="0.25">
      <c r="E5">
        <v>2019</v>
      </c>
    </row>
    <row r="6" spans="5:6" x14ac:dyDescent="0.25">
      <c r="E6">
        <v>2020</v>
      </c>
    </row>
    <row r="7" spans="5:6" x14ac:dyDescent="0.25">
      <c r="E7">
        <v>2021</v>
      </c>
    </row>
    <row r="8" spans="5:6" x14ac:dyDescent="0.25">
      <c r="E8">
        <v>2022</v>
      </c>
    </row>
    <row r="9" spans="5:6" x14ac:dyDescent="0.25">
      <c r="E9">
        <v>2023</v>
      </c>
    </row>
    <row r="10" spans="5:6" x14ac:dyDescent="0.25">
      <c r="E10">
        <v>2024</v>
      </c>
      <c r="F10" s="2">
        <f>'план сент24'!N13</f>
        <v>202257.70000000004</v>
      </c>
    </row>
    <row r="11" spans="5:6" x14ac:dyDescent="0.25">
      <c r="E11">
        <v>2025</v>
      </c>
      <c r="F11" s="2">
        <f>'план сент24'!AH13</f>
        <v>120676.83999999998</v>
      </c>
    </row>
    <row r="12" spans="5:6" x14ac:dyDescent="0.25">
      <c r="E12">
        <v>2026</v>
      </c>
      <c r="F12" s="2">
        <f>'план сент24'!AI13</f>
        <v>104226.84999999999</v>
      </c>
    </row>
    <row r="14" spans="5:6" x14ac:dyDescent="0.25">
      <c r="F14">
        <f>SUM(F5:F12)</f>
        <v>427161.39</v>
      </c>
    </row>
    <row r="18" spans="8:13" x14ac:dyDescent="0.25">
      <c r="J18" t="s">
        <v>116</v>
      </c>
    </row>
    <row r="19" spans="8:13" x14ac:dyDescent="0.25">
      <c r="I19" t="s">
        <v>115</v>
      </c>
      <c r="J19">
        <v>2024</v>
      </c>
      <c r="K19">
        <v>2025</v>
      </c>
      <c r="L19">
        <v>2026</v>
      </c>
      <c r="M19">
        <v>2027</v>
      </c>
    </row>
    <row r="20" spans="8:13" ht="15.75" x14ac:dyDescent="0.25">
      <c r="H20" t="s">
        <v>222</v>
      </c>
      <c r="I20" s="55">
        <v>33160000</v>
      </c>
      <c r="J20" s="56">
        <f>'приложение 1'!G15</f>
        <v>1230</v>
      </c>
      <c r="K20" s="56">
        <f>'приложение 1'!H15</f>
        <v>0</v>
      </c>
      <c r="L20" s="56">
        <f>'приложение 1'!I15</f>
        <v>0</v>
      </c>
      <c r="M20" s="56">
        <f>'приложение 1'!J15</f>
        <v>483494</v>
      </c>
    </row>
    <row r="21" spans="8:13" x14ac:dyDescent="0.25">
      <c r="J21">
        <f>J20/I$20*100</f>
        <v>3.709288299155609E-3</v>
      </c>
      <c r="K21">
        <f>K20/I20*100</f>
        <v>0</v>
      </c>
      <c r="L21">
        <f>L20/I20*100</f>
        <v>0</v>
      </c>
      <c r="M21">
        <f>M20/I20*100</f>
        <v>1.4580639324487334</v>
      </c>
    </row>
    <row r="23" spans="8:13" x14ac:dyDescent="0.25">
      <c r="J23">
        <f>'приложение 1'!F15/Лист1!I20*100</f>
        <v>1.4543546441495778</v>
      </c>
    </row>
    <row r="25" spans="8:13" x14ac:dyDescent="0.25">
      <c r="H25" t="s">
        <v>223</v>
      </c>
      <c r="I25">
        <v>4870000</v>
      </c>
      <c r="J25">
        <f>'приложение 1'!F24/Лист1!I25*100</f>
        <v>5.8092310061601644</v>
      </c>
      <c r="K25">
        <f>'приложение 1'!G24/I25*100</f>
        <v>5.8174445585215606</v>
      </c>
      <c r="L25">
        <f>'приложение 1'!H24/I25*100</f>
        <v>5.8174445585215606</v>
      </c>
      <c r="M25">
        <f>'приложение 1'!I24/I25*100</f>
        <v>5.8174445585215606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E6:O27"/>
  <sheetViews>
    <sheetView topLeftCell="B1" workbookViewId="0">
      <selection activeCell="G27" sqref="G27"/>
    </sheetView>
  </sheetViews>
  <sheetFormatPr defaultRowHeight="15" x14ac:dyDescent="0.25"/>
  <cols>
    <col min="4" max="4" width="0.140625" customWidth="1"/>
    <col min="5" max="5" width="21.5703125" customWidth="1"/>
    <col min="6" max="6" width="61.5703125" style="75" customWidth="1"/>
    <col min="7" max="7" width="15.28515625" style="2" customWidth="1"/>
    <col min="8" max="8" width="12.85546875" customWidth="1"/>
  </cols>
  <sheetData>
    <row r="6" spans="5:15" x14ac:dyDescent="0.25">
      <c r="E6" s="362" t="e">
        <f>'план сент24'!#REF!</f>
        <v>#REF!</v>
      </c>
      <c r="F6" s="74" t="e">
        <f>'план сент24'!#REF!</f>
        <v>#REF!</v>
      </c>
      <c r="G6" s="70" t="e">
        <f>'план сент24'!#REF!</f>
        <v>#REF!</v>
      </c>
      <c r="H6" s="363" t="e">
        <f>SUM(G6:G17)</f>
        <v>#REF!</v>
      </c>
      <c r="I6" s="364" t="s">
        <v>140</v>
      </c>
      <c r="J6" s="364"/>
      <c r="K6" s="364"/>
      <c r="L6" s="364"/>
      <c r="M6" s="364"/>
      <c r="N6" s="364"/>
      <c r="O6" s="364"/>
    </row>
    <row r="7" spans="5:15" x14ac:dyDescent="0.25">
      <c r="E7" s="362"/>
      <c r="F7" s="74" t="e">
        <f>'план сент24'!#REF!</f>
        <v>#REF!</v>
      </c>
      <c r="G7" s="70" t="e">
        <f>'план сент24'!#REF!</f>
        <v>#REF!</v>
      </c>
      <c r="H7" s="362"/>
      <c r="I7" s="364"/>
      <c r="J7" s="364"/>
      <c r="K7" s="364"/>
      <c r="L7" s="364"/>
      <c r="M7" s="364"/>
      <c r="N7" s="364"/>
      <c r="O7" s="364"/>
    </row>
    <row r="8" spans="5:15" x14ac:dyDescent="0.25">
      <c r="E8" s="362"/>
      <c r="F8" s="74" t="e">
        <f>'план сент24'!#REF!</f>
        <v>#REF!</v>
      </c>
      <c r="G8" s="70" t="e">
        <f>'план сент24'!#REF!</f>
        <v>#REF!</v>
      </c>
      <c r="H8" s="362"/>
      <c r="I8" s="364"/>
      <c r="J8" s="364"/>
      <c r="K8" s="364"/>
      <c r="L8" s="364"/>
      <c r="M8" s="364"/>
      <c r="N8" s="364"/>
      <c r="O8" s="364"/>
    </row>
    <row r="9" spans="5:15" x14ac:dyDescent="0.25">
      <c r="E9" s="362"/>
      <c r="F9" s="74" t="e">
        <f>'план сент24'!#REF!</f>
        <v>#REF!</v>
      </c>
      <c r="G9" s="70" t="e">
        <f>'план сент24'!#REF!</f>
        <v>#REF!</v>
      </c>
      <c r="H9" s="362"/>
      <c r="I9" s="364"/>
      <c r="J9" s="364"/>
      <c r="K9" s="364"/>
      <c r="L9" s="364"/>
      <c r="M9" s="364"/>
      <c r="N9" s="364"/>
      <c r="O9" s="364"/>
    </row>
    <row r="10" spans="5:15" x14ac:dyDescent="0.25">
      <c r="E10" s="362"/>
      <c r="F10" s="74" t="e">
        <f>'план сент24'!#REF!</f>
        <v>#REF!</v>
      </c>
      <c r="G10" s="70" t="e">
        <f>'план сент24'!#REF!</f>
        <v>#REF!</v>
      </c>
      <c r="H10" s="362"/>
      <c r="I10" s="364"/>
      <c r="J10" s="364"/>
      <c r="K10" s="364"/>
      <c r="L10" s="364"/>
      <c r="M10" s="364"/>
      <c r="N10" s="364"/>
      <c r="O10" s="364"/>
    </row>
    <row r="11" spans="5:15" x14ac:dyDescent="0.25">
      <c r="E11" s="362"/>
      <c r="F11" s="74" t="e">
        <f>'план сент24'!#REF!</f>
        <v>#REF!</v>
      </c>
      <c r="G11" s="70" t="e">
        <f>'план сент24'!#REF!</f>
        <v>#REF!</v>
      </c>
      <c r="H11" s="362"/>
      <c r="I11" s="364"/>
      <c r="J11" s="364"/>
      <c r="K11" s="364"/>
      <c r="L11" s="364"/>
      <c r="M11" s="364"/>
      <c r="N11" s="364"/>
      <c r="O11" s="364"/>
    </row>
    <row r="12" spans="5:15" x14ac:dyDescent="0.25">
      <c r="E12" s="362"/>
      <c r="F12" s="74" t="e">
        <f>'план сент24'!#REF!</f>
        <v>#REF!</v>
      </c>
      <c r="G12" s="70" t="e">
        <f>'план сент24'!#REF!</f>
        <v>#REF!</v>
      </c>
      <c r="H12" s="362"/>
      <c r="I12" s="364"/>
      <c r="J12" s="364"/>
      <c r="K12" s="364"/>
      <c r="L12" s="364"/>
      <c r="M12" s="364"/>
      <c r="N12" s="364"/>
      <c r="O12" s="364"/>
    </row>
    <row r="13" spans="5:15" x14ac:dyDescent="0.25">
      <c r="E13" s="362"/>
      <c r="F13" s="74" t="e">
        <f>'план сент24'!#REF!</f>
        <v>#REF!</v>
      </c>
      <c r="G13" s="70" t="e">
        <f>'план сент24'!#REF!</f>
        <v>#REF!</v>
      </c>
      <c r="H13" s="362"/>
      <c r="I13" s="364"/>
      <c r="J13" s="364"/>
      <c r="K13" s="364"/>
      <c r="L13" s="364"/>
      <c r="M13" s="364"/>
      <c r="N13" s="364"/>
      <c r="O13" s="364"/>
    </row>
    <row r="14" spans="5:15" ht="39.75" customHeight="1" x14ac:dyDescent="0.25">
      <c r="E14" s="362"/>
      <c r="F14" s="74" t="e">
        <f>'план сент24'!#REF!</f>
        <v>#REF!</v>
      </c>
      <c r="G14" s="70" t="e">
        <f>'план сент24'!#REF!</f>
        <v>#REF!</v>
      </c>
      <c r="H14" s="362"/>
      <c r="I14" s="364"/>
      <c r="J14" s="364"/>
      <c r="K14" s="364"/>
      <c r="L14" s="364"/>
      <c r="M14" s="364"/>
      <c r="N14" s="364"/>
      <c r="O14" s="364"/>
    </row>
    <row r="15" spans="5:15" ht="33.75" customHeight="1" x14ac:dyDescent="0.25">
      <c r="E15" s="362"/>
      <c r="F15" s="74" t="e">
        <f>'план сент24'!#REF!</f>
        <v>#REF!</v>
      </c>
      <c r="G15" s="70" t="e">
        <f>'план сент24'!#REF!</f>
        <v>#REF!</v>
      </c>
      <c r="H15" s="362"/>
      <c r="I15" s="364"/>
      <c r="J15" s="364"/>
      <c r="K15" s="364"/>
      <c r="L15" s="364"/>
      <c r="M15" s="364"/>
      <c r="N15" s="364"/>
      <c r="O15" s="364"/>
    </row>
    <row r="16" spans="5:15" ht="52.5" customHeight="1" x14ac:dyDescent="0.25">
      <c r="E16" s="362"/>
      <c r="F16" s="74" t="e">
        <f>'план сент24'!#REF!</f>
        <v>#REF!</v>
      </c>
      <c r="G16" s="70" t="e">
        <f>'план сент24'!#REF!</f>
        <v>#REF!</v>
      </c>
      <c r="H16" s="362"/>
      <c r="I16" s="364"/>
      <c r="J16" s="364"/>
      <c r="K16" s="364"/>
      <c r="L16" s="364"/>
      <c r="M16" s="364"/>
      <c r="N16" s="364"/>
      <c r="O16" s="364"/>
    </row>
    <row r="17" spans="5:15" ht="35.25" customHeight="1" x14ac:dyDescent="0.25">
      <c r="E17" s="362"/>
      <c r="F17" s="74" t="e">
        <f>'план сент24'!#REF!</f>
        <v>#REF!</v>
      </c>
      <c r="G17" s="70" t="e">
        <f>'план сент24'!#REF!</f>
        <v>#REF!</v>
      </c>
      <c r="H17" s="362"/>
      <c r="I17" s="364"/>
      <c r="J17" s="364"/>
      <c r="K17" s="364"/>
      <c r="L17" s="364"/>
      <c r="M17" s="364"/>
      <c r="N17" s="364"/>
      <c r="O17" s="364"/>
    </row>
    <row r="18" spans="5:15" ht="45" customHeight="1" x14ac:dyDescent="0.25">
      <c r="E18" s="362" t="e">
        <f>'план сент24'!#REF!</f>
        <v>#REF!</v>
      </c>
      <c r="F18" s="74" t="e">
        <f>'план сент24'!#REF!</f>
        <v>#REF!</v>
      </c>
      <c r="G18" s="70" t="e">
        <f>'план сент24'!#REF!</f>
        <v>#REF!</v>
      </c>
      <c r="H18" s="363" t="e">
        <f>SUM(G18:G21)</f>
        <v>#REF!</v>
      </c>
      <c r="I18" s="364"/>
      <c r="J18" s="364"/>
      <c r="K18" s="364"/>
      <c r="L18" s="364"/>
      <c r="M18" s="364"/>
      <c r="N18" s="364"/>
      <c r="O18" s="364"/>
    </row>
    <row r="19" spans="5:15" ht="21" customHeight="1" x14ac:dyDescent="0.25">
      <c r="E19" s="362"/>
      <c r="F19" s="74" t="e">
        <f>'план сент24'!#REF!</f>
        <v>#REF!</v>
      </c>
      <c r="G19" s="70" t="e">
        <f>'план сент24'!#REF!</f>
        <v>#REF!</v>
      </c>
      <c r="H19" s="362"/>
      <c r="I19" s="364"/>
      <c r="J19" s="364"/>
      <c r="K19" s="364"/>
      <c r="L19" s="364"/>
      <c r="M19" s="364"/>
      <c r="N19" s="364"/>
      <c r="O19" s="364"/>
    </row>
    <row r="20" spans="5:15" ht="23.25" customHeight="1" x14ac:dyDescent="0.25">
      <c r="E20" s="362"/>
      <c r="F20" s="74" t="e">
        <f>'план сент24'!#REF!</f>
        <v>#REF!</v>
      </c>
      <c r="G20" s="70" t="e">
        <f>'план сент24'!#REF!</f>
        <v>#REF!</v>
      </c>
      <c r="H20" s="362"/>
      <c r="I20" s="364"/>
      <c r="J20" s="364"/>
      <c r="K20" s="364"/>
      <c r="L20" s="364"/>
      <c r="M20" s="364"/>
      <c r="N20" s="364"/>
      <c r="O20" s="364"/>
    </row>
    <row r="21" spans="5:15" x14ac:dyDescent="0.25">
      <c r="E21" s="362"/>
      <c r="F21" s="74" t="e">
        <f>'план сент24'!#REF!</f>
        <v>#REF!</v>
      </c>
      <c r="G21" s="70" t="e">
        <f>'план сент24'!#REF!</f>
        <v>#REF!</v>
      </c>
      <c r="H21" s="362"/>
      <c r="I21" s="364"/>
      <c r="J21" s="364"/>
      <c r="K21" s="364"/>
      <c r="L21" s="364"/>
      <c r="M21" s="364"/>
      <c r="N21" s="364"/>
      <c r="O21" s="364"/>
    </row>
    <row r="22" spans="5:15" x14ac:dyDescent="0.25">
      <c r="E22" s="71"/>
      <c r="G22" s="72"/>
      <c r="H22" s="71"/>
      <c r="I22" s="71"/>
      <c r="J22" s="71"/>
      <c r="K22" s="71"/>
      <c r="L22" s="71"/>
      <c r="M22" s="71"/>
      <c r="N22" s="71"/>
      <c r="O22" s="71"/>
    </row>
    <row r="23" spans="5:15" x14ac:dyDescent="0.25">
      <c r="E23" s="71"/>
      <c r="G23" s="72"/>
      <c r="H23" s="71"/>
      <c r="I23" s="71"/>
      <c r="J23" s="71"/>
      <c r="K23" s="71"/>
      <c r="L23" s="71"/>
      <c r="M23" s="71"/>
      <c r="N23" s="71"/>
      <c r="O23" s="71"/>
    </row>
    <row r="24" spans="5:15" ht="36.75" customHeight="1" x14ac:dyDescent="0.25">
      <c r="E24" s="68" t="str">
        <f>[1]план!$D$25</f>
        <v>иная суб_МБУ "Спецремтранс"</v>
      </c>
      <c r="F24" s="74" t="str">
        <f>[1]план!$E$25</f>
        <v>приобретение и установка теплового счетчика в здании МБУ "Спецремтранс"</v>
      </c>
      <c r="G24" s="69">
        <f>[1]план!$L$25</f>
        <v>145</v>
      </c>
      <c r="H24" s="69">
        <f>G24</f>
        <v>145</v>
      </c>
      <c r="I24" s="364" t="s">
        <v>138</v>
      </c>
      <c r="J24" s="364"/>
      <c r="K24" s="364"/>
      <c r="L24" s="364"/>
      <c r="M24" s="364"/>
      <c r="N24" s="364"/>
      <c r="O24" s="364"/>
    </row>
    <row r="25" spans="5:15" x14ac:dyDescent="0.25">
      <c r="E25" s="67"/>
      <c r="G25" s="73"/>
      <c r="H25" s="67"/>
      <c r="I25" s="71"/>
      <c r="J25" s="71"/>
      <c r="K25" s="71"/>
      <c r="L25" s="71"/>
      <c r="M25" s="71"/>
      <c r="N25" s="71"/>
      <c r="O25" s="71"/>
    </row>
    <row r="26" spans="5:15" ht="38.25" customHeight="1" x14ac:dyDescent="0.25">
      <c r="E26" s="68" t="str">
        <f>E24</f>
        <v>иная суб_МБУ "Спецремтранс"</v>
      </c>
      <c r="F26" s="74" t="str">
        <f>[2]план!$E$31</f>
        <v>Текущий ремонт помещения здания МБУ "Спецремтранс" по адресу : г. Светлогорск, ул. Новая, д.2</v>
      </c>
      <c r="G26" s="69">
        <f>[2]план!$L$31</f>
        <v>823.76</v>
      </c>
      <c r="H26" s="365">
        <f>G26+G27</f>
        <v>1647.52</v>
      </c>
      <c r="I26" s="362" t="s">
        <v>139</v>
      </c>
      <c r="J26" s="362"/>
      <c r="K26" s="362"/>
      <c r="L26" s="362"/>
      <c r="M26" s="362"/>
      <c r="N26" s="362"/>
      <c r="O26" s="362"/>
    </row>
    <row r="27" spans="5:15" ht="30" x14ac:dyDescent="0.25">
      <c r="E27" s="68" t="str">
        <f>E26</f>
        <v>иная суб_МБУ "Спецремтранс"</v>
      </c>
      <c r="F27" s="74" t="str">
        <f>[2]план!$E$31</f>
        <v>Текущий ремонт помещения здания МБУ "Спецремтранс" по адресу : г. Светлогорск, ул. Новая, д.2</v>
      </c>
      <c r="G27" s="69">
        <f>[2]план!$L$31</f>
        <v>823.76</v>
      </c>
      <c r="H27" s="366"/>
      <c r="I27" s="362"/>
      <c r="J27" s="362"/>
      <c r="K27" s="362"/>
      <c r="L27" s="362"/>
      <c r="M27" s="362"/>
      <c r="N27" s="362"/>
      <c r="O27" s="362"/>
    </row>
  </sheetData>
  <mergeCells count="8">
    <mergeCell ref="E6:E17"/>
    <mergeCell ref="E18:E21"/>
    <mergeCell ref="H6:H17"/>
    <mergeCell ref="H18:H21"/>
    <mergeCell ref="I26:O27"/>
    <mergeCell ref="I24:O24"/>
    <mergeCell ref="I6:O21"/>
    <mergeCell ref="H26:H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G11:M24"/>
  <sheetViews>
    <sheetView topLeftCell="A10" workbookViewId="0">
      <selection activeCell="I12" sqref="I12:I13"/>
    </sheetView>
  </sheetViews>
  <sheetFormatPr defaultRowHeight="15" x14ac:dyDescent="0.25"/>
  <cols>
    <col min="7" max="7" width="53.28515625" customWidth="1"/>
  </cols>
  <sheetData>
    <row r="11" spans="7:9" ht="15.75" thickBot="1" x14ac:dyDescent="0.3"/>
    <row r="12" spans="7:9" ht="15.75" x14ac:dyDescent="0.25">
      <c r="G12" s="150" t="s">
        <v>248</v>
      </c>
      <c r="H12" s="367" t="s">
        <v>40</v>
      </c>
      <c r="I12" s="367">
        <v>58752</v>
      </c>
    </row>
    <row r="13" spans="7:9" ht="32.25" thickBot="1" x14ac:dyDescent="0.3">
      <c r="G13" s="151" t="s">
        <v>249</v>
      </c>
      <c r="H13" s="368"/>
      <c r="I13" s="368"/>
    </row>
    <row r="14" spans="7:9" ht="16.5" thickBot="1" x14ac:dyDescent="0.3">
      <c r="G14" s="151" t="s">
        <v>250</v>
      </c>
      <c r="H14" s="152" t="s">
        <v>40</v>
      </c>
      <c r="I14" s="152">
        <v>39216</v>
      </c>
    </row>
    <row r="15" spans="7:9" ht="16.5" thickBot="1" x14ac:dyDescent="0.3">
      <c r="G15" s="151" t="s">
        <v>251</v>
      </c>
      <c r="H15" s="152" t="s">
        <v>40</v>
      </c>
      <c r="I15" s="152">
        <v>19536</v>
      </c>
    </row>
    <row r="18" spans="7:13" x14ac:dyDescent="0.25">
      <c r="G18">
        <v>534945</v>
      </c>
    </row>
    <row r="19" spans="7:13" x14ac:dyDescent="0.25">
      <c r="I19">
        <f>G18/I12</f>
        <v>9.1051368464052285</v>
      </c>
    </row>
    <row r="20" spans="7:13" x14ac:dyDescent="0.25">
      <c r="H20">
        <f>I12*12</f>
        <v>705024</v>
      </c>
    </row>
    <row r="23" spans="7:13" x14ac:dyDescent="0.25">
      <c r="H23">
        <v>3158384.0088799996</v>
      </c>
      <c r="J23">
        <f>I14*12</f>
        <v>470592</v>
      </c>
      <c r="L23">
        <f>H23/K24*J23</f>
        <v>2108169.7183455555</v>
      </c>
      <c r="M23">
        <f>L23+L24</f>
        <v>3158384.0088799996</v>
      </c>
    </row>
    <row r="24" spans="7:13" x14ac:dyDescent="0.25">
      <c r="J24">
        <f>I15*12</f>
        <v>234432</v>
      </c>
      <c r="K24">
        <f>J23+J24</f>
        <v>705024</v>
      </c>
      <c r="L24">
        <f>H23/K24*J24</f>
        <v>1050214.2905344444</v>
      </c>
    </row>
  </sheetData>
  <mergeCells count="2">
    <mergeCell ref="H12:H13"/>
    <mergeCell ref="I12:I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4AFDE-5C1A-44ED-B5DA-7AFB934EBBD9}">
  <dimension ref="A1:H2"/>
  <sheetViews>
    <sheetView workbookViewId="0">
      <selection sqref="A1:H2"/>
    </sheetView>
  </sheetViews>
  <sheetFormatPr defaultRowHeight="15" x14ac:dyDescent="0.25"/>
  <cols>
    <col min="4" max="4" width="13.140625" customWidth="1"/>
    <col min="6" max="6" width="7.42578125" customWidth="1"/>
    <col min="7" max="7" width="9.140625" customWidth="1"/>
    <col min="8" max="8" width="14.140625" customWidth="1"/>
  </cols>
  <sheetData>
    <row r="1" spans="1:8" ht="120" x14ac:dyDescent="0.25">
      <c r="A1" s="292" t="s">
        <v>473</v>
      </c>
      <c r="B1" s="292" t="s">
        <v>22</v>
      </c>
      <c r="C1" s="292" t="s">
        <v>23</v>
      </c>
      <c r="D1" s="292" t="s">
        <v>474</v>
      </c>
      <c r="E1" s="292" t="s">
        <v>27</v>
      </c>
      <c r="F1" s="292" t="s">
        <v>28</v>
      </c>
      <c r="G1" s="292" t="s">
        <v>475</v>
      </c>
      <c r="H1" s="292" t="s">
        <v>476</v>
      </c>
    </row>
    <row r="2" spans="1:8" ht="150" customHeight="1" x14ac:dyDescent="0.25">
      <c r="A2" s="37" t="s">
        <v>43</v>
      </c>
      <c r="B2" s="28" t="s">
        <v>275</v>
      </c>
      <c r="C2" s="39" t="s">
        <v>107</v>
      </c>
      <c r="D2" s="103" t="s">
        <v>355</v>
      </c>
      <c r="E2" s="28" t="s">
        <v>188</v>
      </c>
      <c r="F2" s="28" t="s">
        <v>38</v>
      </c>
      <c r="G2" s="28">
        <v>1</v>
      </c>
      <c r="H2" s="25" t="s">
        <v>472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приложение 1</vt:lpstr>
      <vt:lpstr>приложение 2</vt:lpstr>
      <vt:lpstr>план сент24</vt:lpstr>
      <vt:lpstr>Лист1</vt:lpstr>
      <vt:lpstr>Лист3</vt:lpstr>
      <vt:lpstr>Лист2</vt:lpstr>
      <vt:lpstr>Лист4</vt:lpstr>
      <vt:lpstr>'план сент24'!Заголовки_для_печати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2024-11-01T09:15:25Z</cp:lastPrinted>
  <dcterms:created xsi:type="dcterms:W3CDTF">2023-06-19T08:09:41Z</dcterms:created>
  <dcterms:modified xsi:type="dcterms:W3CDTF">2024-11-12T13:39:24Z</dcterms:modified>
</cp:coreProperties>
</file>