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80" yWindow="240" windowWidth="17880" windowHeight="10530" tabRatio="202"/>
  </bookViews>
  <sheets>
    <sheet name="прил.3" sheetId="9" r:id="rId1"/>
    <sheet name="прил.4" sheetId="11" r:id="rId2"/>
    <sheet name="Лист1" sheetId="12" r:id="rId3"/>
  </sheets>
  <definedNames>
    <definedName name="_xlnm._FilterDatabase" localSheetId="0" hidden="1">прил.3!$A$13:$G$490</definedName>
    <definedName name="_xlnm.Print_Titles" localSheetId="0">прил.3!$13:$15</definedName>
    <definedName name="_xlnm.Print_Titles" localSheetId="1">прил.4!$12:$12</definedName>
  </definedNames>
  <calcPr calcId="145621"/>
</workbook>
</file>

<file path=xl/calcChain.xml><?xml version="1.0" encoding="utf-8"?>
<calcChain xmlns="http://schemas.openxmlformats.org/spreadsheetml/2006/main">
  <c r="Q84" i="9" l="1"/>
  <c r="Q83" i="9" s="1"/>
  <c r="E65" i="11" s="1"/>
  <c r="P554" i="9"/>
  <c r="Q82" i="9"/>
  <c r="Q81" i="9" s="1"/>
  <c r="E64" i="11" l="1"/>
  <c r="Q80" i="9"/>
  <c r="E63" i="11"/>
  <c r="Q77" i="9"/>
  <c r="Q76" i="9" s="1"/>
  <c r="Q75" i="9" s="1"/>
  <c r="O320" i="9"/>
  <c r="Q320" i="9" s="1"/>
  <c r="N74" i="9"/>
  <c r="E91" i="11"/>
  <c r="N470" i="9" l="1"/>
  <c r="N492" i="9"/>
  <c r="E146" i="11" s="1"/>
  <c r="N244" i="9"/>
  <c r="O492" i="9"/>
  <c r="N418" i="9"/>
  <c r="N417" i="9"/>
  <c r="O417" i="9" s="1"/>
  <c r="N454" i="9"/>
  <c r="O454" i="9" s="1"/>
  <c r="O450" i="9"/>
  <c r="O410" i="9"/>
  <c r="O418" i="9"/>
  <c r="O390" i="9"/>
  <c r="O329" i="9"/>
  <c r="O309" i="9"/>
  <c r="Q309" i="9" s="1"/>
  <c r="O283" i="9"/>
  <c r="O278" i="9"/>
  <c r="O269" i="9"/>
  <c r="Q269" i="9" s="1"/>
  <c r="O268" i="9"/>
  <c r="Q268" i="9" s="1"/>
  <c r="Q267" i="9" s="1"/>
  <c r="O453" i="9" l="1"/>
  <c r="E94" i="11" s="1"/>
  <c r="Q454" i="9"/>
  <c r="Q453" i="9" s="1"/>
  <c r="O277" i="9"/>
  <c r="Q278" i="9"/>
  <c r="Q277" i="9" s="1"/>
  <c r="O282" i="9"/>
  <c r="E158" i="11" s="1"/>
  <c r="Q283" i="9"/>
  <c r="Q282" i="9" s="1"/>
  <c r="O328" i="9"/>
  <c r="Q329" i="9"/>
  <c r="Q328" i="9" s="1"/>
  <c r="Q418" i="9"/>
  <c r="E61" i="11"/>
  <c r="O449" i="9"/>
  <c r="Q450" i="9"/>
  <c r="Q449" i="9" s="1"/>
  <c r="O389" i="9"/>
  <c r="E173" i="11" s="1"/>
  <c r="Q390" i="9"/>
  <c r="Q389" i="9" s="1"/>
  <c r="Q410" i="9"/>
  <c r="E67" i="11"/>
  <c r="Q417" i="9"/>
  <c r="E60" i="11"/>
  <c r="O491" i="9"/>
  <c r="Q492" i="9"/>
  <c r="Q491" i="9" s="1"/>
  <c r="O267" i="9"/>
  <c r="E144" i="11" s="1"/>
  <c r="N266" i="9"/>
  <c r="O254" i="9"/>
  <c r="Q254" i="9" s="1"/>
  <c r="O253" i="9"/>
  <c r="Q253" i="9" s="1"/>
  <c r="O236" i="9"/>
  <c r="O235" i="9"/>
  <c r="Q235" i="9" s="1"/>
  <c r="O215" i="9"/>
  <c r="O209" i="9"/>
  <c r="O194" i="9"/>
  <c r="O143" i="9"/>
  <c r="O105" i="9"/>
  <c r="Q105" i="9" s="1"/>
  <c r="O104" i="9"/>
  <c r="Q104" i="9" s="1"/>
  <c r="O95" i="9"/>
  <c r="O93" i="9"/>
  <c r="Q103" i="9" l="1"/>
  <c r="Q252" i="9"/>
  <c r="O142" i="9"/>
  <c r="E193" i="11" s="1"/>
  <c r="Q143" i="9"/>
  <c r="Q142" i="9" s="1"/>
  <c r="O208" i="9"/>
  <c r="E110" i="11" s="1"/>
  <c r="Q209" i="9"/>
  <c r="Q208" i="9" s="1"/>
  <c r="O92" i="9"/>
  <c r="E85" i="11" s="1"/>
  <c r="Q93" i="9"/>
  <c r="Q92" i="9" s="1"/>
  <c r="O94" i="9"/>
  <c r="E86" i="11" s="1"/>
  <c r="Q95" i="9"/>
  <c r="Q94" i="9" s="1"/>
  <c r="O193" i="9"/>
  <c r="E74" i="11" s="1"/>
  <c r="Q194" i="9"/>
  <c r="Q193" i="9" s="1"/>
  <c r="O214" i="9"/>
  <c r="E120" i="11" s="1"/>
  <c r="Q215" i="9"/>
  <c r="Q214" i="9" s="1"/>
  <c r="O234" i="9"/>
  <c r="Q236" i="9"/>
  <c r="Q234" i="9" s="1"/>
  <c r="O252" i="9"/>
  <c r="E140" i="11" s="1"/>
  <c r="O103" i="9"/>
  <c r="O77" i="9" l="1"/>
  <c r="O76" i="9" s="1"/>
  <c r="O75" i="9" s="1"/>
  <c r="N554" i="9"/>
  <c r="L99" i="9"/>
  <c r="L241" i="9"/>
  <c r="M530" i="9"/>
  <c r="O530" i="9" s="1"/>
  <c r="Q530" i="9" s="1"/>
  <c r="L531" i="9"/>
  <c r="M97" i="9"/>
  <c r="O97" i="9" s="1"/>
  <c r="O96" i="9" l="1"/>
  <c r="E87" i="11" s="1"/>
  <c r="Q97" i="9"/>
  <c r="Q96" i="9" s="1"/>
  <c r="M96" i="9"/>
  <c r="L244" i="9"/>
  <c r="L266" i="9"/>
  <c r="L53" i="9"/>
  <c r="L477" i="9"/>
  <c r="L21" i="9"/>
  <c r="L549" i="9"/>
  <c r="L529" i="9"/>
  <c r="L24" i="9"/>
  <c r="M517" i="9" l="1"/>
  <c r="L526" i="9"/>
  <c r="O517" i="9" l="1"/>
  <c r="M434" i="9"/>
  <c r="M490" i="9"/>
  <c r="M481" i="9"/>
  <c r="M483" i="9"/>
  <c r="M477" i="9"/>
  <c r="M462" i="9"/>
  <c r="M442" i="9"/>
  <c r="M468" i="9"/>
  <c r="M466" i="9"/>
  <c r="M464" i="9"/>
  <c r="M460" i="9"/>
  <c r="M458" i="9"/>
  <c r="M456" i="9"/>
  <c r="Q517" i="9" l="1"/>
  <c r="E99" i="11"/>
  <c r="M455" i="9"/>
  <c r="O456" i="9"/>
  <c r="M459" i="9"/>
  <c r="O460" i="9"/>
  <c r="M441" i="9"/>
  <c r="O442" i="9"/>
  <c r="M476" i="9"/>
  <c r="O477" i="9"/>
  <c r="M480" i="9"/>
  <c r="O481" i="9"/>
  <c r="M433" i="9"/>
  <c r="O434" i="9"/>
  <c r="M465" i="9"/>
  <c r="O466" i="9"/>
  <c r="M457" i="9"/>
  <c r="O458" i="9"/>
  <c r="M463" i="9"/>
  <c r="O464" i="9"/>
  <c r="M467" i="9"/>
  <c r="O468" i="9"/>
  <c r="M461" i="9"/>
  <c r="O462" i="9"/>
  <c r="M482" i="9"/>
  <c r="O483" i="9"/>
  <c r="M489" i="9"/>
  <c r="O490" i="9"/>
  <c r="M475" i="9"/>
  <c r="M488" i="9"/>
  <c r="M429" i="9"/>
  <c r="M408" i="9"/>
  <c r="O408" i="9" s="1"/>
  <c r="Q408" i="9" s="1"/>
  <c r="M407" i="9"/>
  <c r="M405" i="9"/>
  <c r="M172" i="9"/>
  <c r="M158" i="9"/>
  <c r="M145" i="9"/>
  <c r="L128" i="9"/>
  <c r="M116" i="9"/>
  <c r="M108" i="9"/>
  <c r="M89" i="9"/>
  <c r="M74" i="9"/>
  <c r="O74" i="9" s="1"/>
  <c r="Q74" i="9" s="1"/>
  <c r="M70" i="9"/>
  <c r="M382" i="9"/>
  <c r="M498" i="9"/>
  <c r="O498" i="9" s="1"/>
  <c r="Q498" i="9" s="1"/>
  <c r="M280" i="9"/>
  <c r="M263" i="9"/>
  <c r="M250" i="9"/>
  <c r="O250" i="9" s="1"/>
  <c r="M251" i="9"/>
  <c r="O251" i="9" s="1"/>
  <c r="Q251" i="9" s="1"/>
  <c r="M232" i="9"/>
  <c r="O232" i="9" s="1"/>
  <c r="M233" i="9"/>
  <c r="O233" i="9" s="1"/>
  <c r="Q233" i="9" s="1"/>
  <c r="M230" i="9"/>
  <c r="O230" i="9" s="1"/>
  <c r="Q230" i="9" s="1"/>
  <c r="M229" i="9"/>
  <c r="O229" i="9" s="1"/>
  <c r="Q229" i="9" s="1"/>
  <c r="M220" i="9"/>
  <c r="M206" i="9"/>
  <c r="M201" i="9"/>
  <c r="O201" i="9" s="1"/>
  <c r="Q201" i="9" s="1"/>
  <c r="M200" i="9"/>
  <c r="O200" i="9" s="1"/>
  <c r="Q200" i="9" s="1"/>
  <c r="Q199" i="9" s="1"/>
  <c r="Q198" i="9" s="1"/>
  <c r="M196" i="9"/>
  <c r="M187" i="9"/>
  <c r="O187" i="9" s="1"/>
  <c r="M544" i="9"/>
  <c r="M533" i="9"/>
  <c r="O533" i="9" s="1"/>
  <c r="Q533" i="9" s="1"/>
  <c r="M532" i="9"/>
  <c r="O532" i="9" s="1"/>
  <c r="Q532" i="9" s="1"/>
  <c r="M526" i="9"/>
  <c r="M524" i="9"/>
  <c r="M522" i="9"/>
  <c r="M520" i="9"/>
  <c r="M516" i="9"/>
  <c r="O516" i="9" s="1"/>
  <c r="M514" i="9"/>
  <c r="M511" i="9"/>
  <c r="M507" i="9"/>
  <c r="M363" i="9"/>
  <c r="O363" i="9" s="1"/>
  <c r="Q363" i="9" s="1"/>
  <c r="M358" i="9"/>
  <c r="O358" i="9" s="1"/>
  <c r="Q358" i="9" s="1"/>
  <c r="M355" i="9"/>
  <c r="O355" i="9" s="1"/>
  <c r="Q355" i="9" s="1"/>
  <c r="M352" i="9"/>
  <c r="O352" i="9" s="1"/>
  <c r="Q352" i="9" s="1"/>
  <c r="M346" i="9"/>
  <c r="L342" i="9"/>
  <c r="M340" i="9"/>
  <c r="M333" i="9"/>
  <c r="M186" i="9"/>
  <c r="M77" i="9"/>
  <c r="M76" i="9" s="1"/>
  <c r="M75" i="9" s="1"/>
  <c r="G247" i="9"/>
  <c r="J413" i="9"/>
  <c r="J554" i="9"/>
  <c r="K99" i="9"/>
  <c r="M99" i="9" s="1"/>
  <c r="K87" i="9"/>
  <c r="K86" i="9" s="1"/>
  <c r="K85" i="9" s="1"/>
  <c r="K79" i="9" s="1"/>
  <c r="K102" i="9"/>
  <c r="M102" i="9" s="1"/>
  <c r="G50" i="9"/>
  <c r="K186" i="9"/>
  <c r="K77" i="9"/>
  <c r="K76" i="9" s="1"/>
  <c r="K75" i="9" s="1"/>
  <c r="G53" i="9"/>
  <c r="G440" i="9"/>
  <c r="G155" i="9"/>
  <c r="H111" i="9"/>
  <c r="I111" i="9" s="1"/>
  <c r="G337" i="9"/>
  <c r="G438" i="9"/>
  <c r="H438" i="9"/>
  <c r="G436" i="9"/>
  <c r="G432" i="9"/>
  <c r="G412" i="9"/>
  <c r="G413" i="9"/>
  <c r="I413" i="9" s="1"/>
  <c r="K413" i="9" s="1"/>
  <c r="M413" i="9" s="1"/>
  <c r="O413" i="9" s="1"/>
  <c r="Q413" i="9" s="1"/>
  <c r="I553" i="9"/>
  <c r="K553" i="9" s="1"/>
  <c r="M553" i="9" s="1"/>
  <c r="O553" i="9" s="1"/>
  <c r="Q553" i="9" s="1"/>
  <c r="I552" i="9"/>
  <c r="K552" i="9" s="1"/>
  <c r="M552" i="9" s="1"/>
  <c r="O552" i="9" s="1"/>
  <c r="Q552" i="9" s="1"/>
  <c r="I542" i="9"/>
  <c r="K542" i="9" s="1"/>
  <c r="M542" i="9" s="1"/>
  <c r="O542" i="9" s="1"/>
  <c r="Q542" i="9" s="1"/>
  <c r="I541" i="9"/>
  <c r="K541" i="9" s="1"/>
  <c r="M541" i="9" s="1"/>
  <c r="O541" i="9" s="1"/>
  <c r="Q541" i="9" s="1"/>
  <c r="I540" i="9"/>
  <c r="K540" i="9" s="1"/>
  <c r="M540" i="9" s="1"/>
  <c r="O540" i="9" s="1"/>
  <c r="Q540" i="9" s="1"/>
  <c r="I531" i="9"/>
  <c r="K531" i="9" s="1"/>
  <c r="M531" i="9" s="1"/>
  <c r="O531" i="9" s="1"/>
  <c r="Q531" i="9" s="1"/>
  <c r="I529" i="9"/>
  <c r="I502" i="9"/>
  <c r="K502" i="9" s="1"/>
  <c r="M502" i="9" s="1"/>
  <c r="O502" i="9" s="1"/>
  <c r="Q502" i="9" s="1"/>
  <c r="I501" i="9"/>
  <c r="K501" i="9" s="1"/>
  <c r="M501" i="9" s="1"/>
  <c r="O501" i="9" s="1"/>
  <c r="Q501" i="9" s="1"/>
  <c r="I500" i="9"/>
  <c r="K500" i="9" s="1"/>
  <c r="M500" i="9" s="1"/>
  <c r="O500" i="9" s="1"/>
  <c r="Q500" i="9" s="1"/>
  <c r="I499" i="9"/>
  <c r="K499" i="9" s="1"/>
  <c r="M499" i="9" s="1"/>
  <c r="O499" i="9" s="1"/>
  <c r="Q499" i="9" s="1"/>
  <c r="I497" i="9"/>
  <c r="K497" i="9" s="1"/>
  <c r="M497" i="9" s="1"/>
  <c r="O497" i="9" s="1"/>
  <c r="Q497" i="9" s="1"/>
  <c r="I487" i="9"/>
  <c r="K487" i="9" s="1"/>
  <c r="K486" i="9" s="1"/>
  <c r="I485" i="9"/>
  <c r="K485" i="9" s="1"/>
  <c r="K484" i="9" s="1"/>
  <c r="I474" i="9"/>
  <c r="I473" i="9" s="1"/>
  <c r="I472" i="9"/>
  <c r="I471" i="9" s="1"/>
  <c r="I470" i="9"/>
  <c r="K470" i="9" s="1"/>
  <c r="K469" i="9" s="1"/>
  <c r="I452" i="9"/>
  <c r="K452" i="9" s="1"/>
  <c r="M452" i="9" s="1"/>
  <c r="O452" i="9" s="1"/>
  <c r="Q452" i="9" s="1"/>
  <c r="I447" i="9"/>
  <c r="K447" i="9" s="1"/>
  <c r="M447" i="9" s="1"/>
  <c r="O447" i="9" s="1"/>
  <c r="Q447" i="9" s="1"/>
  <c r="I424" i="9"/>
  <c r="K424" i="9" s="1"/>
  <c r="M424" i="9" s="1"/>
  <c r="O424" i="9" s="1"/>
  <c r="Q424" i="9" s="1"/>
  <c r="I419" i="9"/>
  <c r="I416" i="9" s="1"/>
  <c r="I415" i="9" s="1"/>
  <c r="I414" i="9"/>
  <c r="K414" i="9" s="1"/>
  <c r="M414" i="9" s="1"/>
  <c r="O414" i="9" s="1"/>
  <c r="Q414" i="9" s="1"/>
  <c r="I412" i="9"/>
  <c r="K412" i="9" s="1"/>
  <c r="M412" i="9" s="1"/>
  <c r="O412" i="9" s="1"/>
  <c r="I400" i="9"/>
  <c r="K400" i="9" s="1"/>
  <c r="M400" i="9" s="1"/>
  <c r="O400" i="9" s="1"/>
  <c r="Q400" i="9" s="1"/>
  <c r="I399" i="9"/>
  <c r="K399" i="9" s="1"/>
  <c r="M399" i="9" s="1"/>
  <c r="O399" i="9" s="1"/>
  <c r="Q399" i="9" s="1"/>
  <c r="I388" i="9"/>
  <c r="K388" i="9" s="1"/>
  <c r="M388" i="9" s="1"/>
  <c r="O388" i="9" s="1"/>
  <c r="Q388" i="9" s="1"/>
  <c r="I387" i="9"/>
  <c r="K387" i="9" s="1"/>
  <c r="M387" i="9" s="1"/>
  <c r="O387" i="9" s="1"/>
  <c r="Q387" i="9" s="1"/>
  <c r="I376" i="9"/>
  <c r="K376" i="9" s="1"/>
  <c r="M376" i="9" s="1"/>
  <c r="O376" i="9" s="1"/>
  <c r="Q376" i="9" s="1"/>
  <c r="I375" i="9"/>
  <c r="K375" i="9" s="1"/>
  <c r="M375" i="9" s="1"/>
  <c r="O375" i="9" s="1"/>
  <c r="Q375" i="9" s="1"/>
  <c r="I367" i="9"/>
  <c r="K367" i="9" s="1"/>
  <c r="K366" i="9" s="1"/>
  <c r="I365" i="9"/>
  <c r="K365" i="9" s="1"/>
  <c r="M365" i="9" s="1"/>
  <c r="O365" i="9" s="1"/>
  <c r="Q365" i="9" s="1"/>
  <c r="I364" i="9"/>
  <c r="K364" i="9" s="1"/>
  <c r="M364" i="9" s="1"/>
  <c r="O364" i="9" s="1"/>
  <c r="Q364" i="9" s="1"/>
  <c r="I348" i="9"/>
  <c r="K348" i="9" s="1"/>
  <c r="K347" i="9" s="1"/>
  <c r="I331" i="9"/>
  <c r="K331" i="9" s="1"/>
  <c r="K330" i="9" s="1"/>
  <c r="K327" i="9" s="1"/>
  <c r="K326" i="9" s="1"/>
  <c r="I325" i="9"/>
  <c r="K325" i="9" s="1"/>
  <c r="K324" i="9" s="1"/>
  <c r="I319" i="9"/>
  <c r="K319" i="9" s="1"/>
  <c r="I317" i="9"/>
  <c r="K317" i="9" s="1"/>
  <c r="K316" i="9" s="1"/>
  <c r="I313" i="9"/>
  <c r="K313" i="9" s="1"/>
  <c r="K312" i="9" s="1"/>
  <c r="I308" i="9"/>
  <c r="K308" i="9" s="1"/>
  <c r="K307" i="9" s="1"/>
  <c r="I304" i="9"/>
  <c r="K304" i="9" s="1"/>
  <c r="M304" i="9" s="1"/>
  <c r="O304" i="9" s="1"/>
  <c r="Q304" i="9" s="1"/>
  <c r="I303" i="9"/>
  <c r="K303" i="9" s="1"/>
  <c r="M303" i="9" s="1"/>
  <c r="O303" i="9" s="1"/>
  <c r="Q303" i="9" s="1"/>
  <c r="I298" i="9"/>
  <c r="K298" i="9" s="1"/>
  <c r="K297" i="9" s="1"/>
  <c r="I295" i="9"/>
  <c r="K295" i="9" s="1"/>
  <c r="K294" i="9" s="1"/>
  <c r="I291" i="9"/>
  <c r="K291" i="9" s="1"/>
  <c r="K290" i="9" s="1"/>
  <c r="I289" i="9"/>
  <c r="K289" i="9" s="1"/>
  <c r="K288" i="9" s="1"/>
  <c r="I276" i="9"/>
  <c r="K276" i="9" s="1"/>
  <c r="M276" i="9" s="1"/>
  <c r="I273" i="9"/>
  <c r="K273" i="9" s="1"/>
  <c r="M273" i="9" s="1"/>
  <c r="O273" i="9" s="1"/>
  <c r="Q273" i="9" s="1"/>
  <c r="I272" i="9"/>
  <c r="K272" i="9" s="1"/>
  <c r="I265" i="9"/>
  <c r="K265" i="9" s="1"/>
  <c r="M265" i="9" s="1"/>
  <c r="O265" i="9" s="1"/>
  <c r="Q265" i="9" s="1"/>
  <c r="I248" i="9"/>
  <c r="K248" i="9" s="1"/>
  <c r="M248" i="9" s="1"/>
  <c r="O248" i="9" s="1"/>
  <c r="Q248" i="9" s="1"/>
  <c r="I227" i="9"/>
  <c r="K227" i="9" s="1"/>
  <c r="M227" i="9" s="1"/>
  <c r="O227" i="9" s="1"/>
  <c r="Q227" i="9" s="1"/>
  <c r="I218" i="9"/>
  <c r="K218" i="9" s="1"/>
  <c r="K217" i="9" s="1"/>
  <c r="I211" i="9"/>
  <c r="K211" i="9" s="1"/>
  <c r="K210" i="9" s="1"/>
  <c r="I204" i="9"/>
  <c r="K204" i="9" s="1"/>
  <c r="K203" i="9" s="1"/>
  <c r="I191" i="9"/>
  <c r="K191" i="9" s="1"/>
  <c r="K190" i="9" s="1"/>
  <c r="I185" i="9"/>
  <c r="K185" i="9" s="1"/>
  <c r="K184" i="9" s="1"/>
  <c r="I182" i="9"/>
  <c r="K182" i="9" s="1"/>
  <c r="M182" i="9" s="1"/>
  <c r="O182" i="9" s="1"/>
  <c r="Q182" i="9" s="1"/>
  <c r="I181" i="9"/>
  <c r="K181" i="9" s="1"/>
  <c r="M181" i="9" s="1"/>
  <c r="O181" i="9" s="1"/>
  <c r="Q181" i="9" s="1"/>
  <c r="I178" i="9"/>
  <c r="K178" i="9" s="1"/>
  <c r="M178" i="9" s="1"/>
  <c r="O178" i="9" s="1"/>
  <c r="Q178" i="9" s="1"/>
  <c r="I168" i="9"/>
  <c r="K168" i="9" s="1"/>
  <c r="K167" i="9" s="1"/>
  <c r="I165" i="9"/>
  <c r="K165" i="9" s="1"/>
  <c r="M165" i="9" s="1"/>
  <c r="O165" i="9" s="1"/>
  <c r="Q165" i="9" s="1"/>
  <c r="I164" i="9"/>
  <c r="K164" i="9" s="1"/>
  <c r="M164" i="9" s="1"/>
  <c r="O164" i="9" s="1"/>
  <c r="Q164" i="9" s="1"/>
  <c r="I151" i="9"/>
  <c r="K151" i="9" s="1"/>
  <c r="K150" i="9" s="1"/>
  <c r="I140" i="9"/>
  <c r="K140" i="9" s="1"/>
  <c r="K139" i="9" s="1"/>
  <c r="I136" i="9"/>
  <c r="I135" i="9" s="1"/>
  <c r="I134" i="9" s="1"/>
  <c r="I133" i="9" s="1"/>
  <c r="I132" i="9"/>
  <c r="I131" i="9" s="1"/>
  <c r="I130" i="9"/>
  <c r="K130" i="9" s="1"/>
  <c r="K129" i="9" s="1"/>
  <c r="I128" i="9"/>
  <c r="K128" i="9" s="1"/>
  <c r="K127" i="9" s="1"/>
  <c r="I126" i="9"/>
  <c r="K126" i="9" s="1"/>
  <c r="K125" i="9" s="1"/>
  <c r="I124" i="9"/>
  <c r="K124" i="9" s="1"/>
  <c r="K123" i="9" s="1"/>
  <c r="I121" i="9"/>
  <c r="K121" i="9" s="1"/>
  <c r="K120" i="9" s="1"/>
  <c r="I119" i="9"/>
  <c r="K119" i="9" s="1"/>
  <c r="K118" i="9" s="1"/>
  <c r="I112" i="9"/>
  <c r="K112" i="9" s="1"/>
  <c r="M112" i="9" s="1"/>
  <c r="O112" i="9" s="1"/>
  <c r="Q112" i="9" s="1"/>
  <c r="I72" i="9"/>
  <c r="K72" i="9" s="1"/>
  <c r="K71" i="9" s="1"/>
  <c r="I64" i="9"/>
  <c r="K64" i="9" s="1"/>
  <c r="M64" i="9" s="1"/>
  <c r="O64" i="9" s="1"/>
  <c r="Q64" i="9" s="1"/>
  <c r="I59" i="9"/>
  <c r="I58" i="9" s="1"/>
  <c r="I57" i="9"/>
  <c r="K57" i="9" s="1"/>
  <c r="K56" i="9" s="1"/>
  <c r="I55" i="9"/>
  <c r="K55" i="9" s="1"/>
  <c r="K54" i="9" s="1"/>
  <c r="I48" i="9"/>
  <c r="K48" i="9" s="1"/>
  <c r="M48" i="9" s="1"/>
  <c r="O48" i="9" s="1"/>
  <c r="I51" i="9"/>
  <c r="K51" i="9" s="1"/>
  <c r="I42" i="9"/>
  <c r="K42" i="9" s="1"/>
  <c r="M42" i="9" s="1"/>
  <c r="O42" i="9" s="1"/>
  <c r="Q42" i="9" s="1"/>
  <c r="I41" i="9"/>
  <c r="K41" i="9" s="1"/>
  <c r="M41" i="9" s="1"/>
  <c r="O41" i="9" s="1"/>
  <c r="Q41" i="9" s="1"/>
  <c r="I40" i="9"/>
  <c r="K40" i="9" s="1"/>
  <c r="M40" i="9" s="1"/>
  <c r="O40" i="9" s="1"/>
  <c r="Q40" i="9" s="1"/>
  <c r="I36" i="9"/>
  <c r="K36" i="9" s="1"/>
  <c r="K35" i="9" s="1"/>
  <c r="I34" i="9"/>
  <c r="K34" i="9" s="1"/>
  <c r="K33" i="9" s="1"/>
  <c r="I32" i="9"/>
  <c r="K32" i="9" s="1"/>
  <c r="K31" i="9" s="1"/>
  <c r="I29" i="9"/>
  <c r="K29" i="9" s="1"/>
  <c r="M29" i="9" s="1"/>
  <c r="O29" i="9" s="1"/>
  <c r="Q29" i="9" s="1"/>
  <c r="I28" i="9"/>
  <c r="K28" i="9" s="1"/>
  <c r="K27" i="9" s="1"/>
  <c r="I26" i="9"/>
  <c r="K26" i="9" s="1"/>
  <c r="M26" i="9" s="1"/>
  <c r="O26" i="9" s="1"/>
  <c r="Q26" i="9" s="1"/>
  <c r="I25" i="9"/>
  <c r="K25" i="9" s="1"/>
  <c r="M25" i="9" s="1"/>
  <c r="O25" i="9" s="1"/>
  <c r="Q25" i="9" s="1"/>
  <c r="I22" i="9"/>
  <c r="K22" i="9" s="1"/>
  <c r="M22" i="9" s="1"/>
  <c r="O22" i="9" s="1"/>
  <c r="Q22" i="9" s="1"/>
  <c r="I496" i="9"/>
  <c r="I495" i="9" s="1"/>
  <c r="I494" i="9" s="1"/>
  <c r="I493" i="9" s="1"/>
  <c r="I484" i="9"/>
  <c r="I366" i="9"/>
  <c r="I324" i="9"/>
  <c r="I323" i="9" s="1"/>
  <c r="I322" i="9" s="1"/>
  <c r="I312" i="9"/>
  <c r="I311" i="9" s="1"/>
  <c r="I310" i="9" s="1"/>
  <c r="I297" i="9"/>
  <c r="I296" i="9" s="1"/>
  <c r="I290" i="9"/>
  <c r="I275" i="9"/>
  <c r="I274" i="9" s="1"/>
  <c r="I217" i="9"/>
  <c r="I203" i="9"/>
  <c r="I202" i="9" s="1"/>
  <c r="I186" i="9"/>
  <c r="I184" i="9"/>
  <c r="I167" i="9"/>
  <c r="I129" i="9"/>
  <c r="I77" i="9"/>
  <c r="I76" i="9" s="1"/>
  <c r="I75" i="9" s="1"/>
  <c r="I56" i="9"/>
  <c r="I35" i="9"/>
  <c r="I53" i="9"/>
  <c r="I52" i="9" s="1"/>
  <c r="I27" i="9" l="1"/>
  <c r="I120" i="9"/>
  <c r="I150" i="9"/>
  <c r="I190" i="9"/>
  <c r="I189" i="9" s="1"/>
  <c r="I188" i="9" s="1"/>
  <c r="I210" i="9"/>
  <c r="I207" i="9" s="1"/>
  <c r="I271" i="9"/>
  <c r="I270" i="9" s="1"/>
  <c r="I288" i="9"/>
  <c r="I294" i="9"/>
  <c r="I293" i="9" s="1"/>
  <c r="I307" i="9"/>
  <c r="I306" i="9" s="1"/>
  <c r="I305" i="9" s="1"/>
  <c r="I316" i="9"/>
  <c r="I315" i="9" s="1"/>
  <c r="I314" i="9" s="1"/>
  <c r="I347" i="9"/>
  <c r="I469" i="9"/>
  <c r="I486" i="9"/>
  <c r="O411" i="9"/>
  <c r="Q412" i="9"/>
  <c r="Q411" i="9" s="1"/>
  <c r="Q409" i="9" s="1"/>
  <c r="O515" i="9"/>
  <c r="Q516" i="9"/>
  <c r="Q515" i="9" s="1"/>
  <c r="E98" i="11"/>
  <c r="O186" i="9"/>
  <c r="Q187" i="9"/>
  <c r="Q186" i="9" s="1"/>
  <c r="Q228" i="9"/>
  <c r="O46" i="9"/>
  <c r="Q48" i="9"/>
  <c r="Q46" i="9" s="1"/>
  <c r="O231" i="9"/>
  <c r="E125" i="11" s="1"/>
  <c r="Q232" i="9"/>
  <c r="Q231" i="9" s="1"/>
  <c r="O249" i="9"/>
  <c r="E138" i="11" s="1"/>
  <c r="Q250" i="9"/>
  <c r="Q249" i="9" s="1"/>
  <c r="O489" i="9"/>
  <c r="Q490" i="9"/>
  <c r="Q489" i="9" s="1"/>
  <c r="Q488" i="9" s="1"/>
  <c r="O482" i="9"/>
  <c r="E127" i="11" s="1"/>
  <c r="Q483" i="9"/>
  <c r="Q482" i="9" s="1"/>
  <c r="O461" i="9"/>
  <c r="E104" i="11" s="1"/>
  <c r="Q462" i="9"/>
  <c r="Q461" i="9" s="1"/>
  <c r="O467" i="9"/>
  <c r="E102" i="11" s="1"/>
  <c r="Q468" i="9"/>
  <c r="Q467" i="9" s="1"/>
  <c r="O463" i="9"/>
  <c r="E100" i="11" s="1"/>
  <c r="Q464" i="9"/>
  <c r="Q463" i="9" s="1"/>
  <c r="O457" i="9"/>
  <c r="E96" i="11" s="1"/>
  <c r="Q458" i="9"/>
  <c r="Q457" i="9" s="1"/>
  <c r="O465" i="9"/>
  <c r="E101" i="11" s="1"/>
  <c r="Q466" i="9"/>
  <c r="Q465" i="9" s="1"/>
  <c r="O433" i="9"/>
  <c r="E77" i="11" s="1"/>
  <c r="Q434" i="9"/>
  <c r="Q433" i="9" s="1"/>
  <c r="O480" i="9"/>
  <c r="E126" i="11" s="1"/>
  <c r="Q481" i="9"/>
  <c r="Q480" i="9" s="1"/>
  <c r="O476" i="9"/>
  <c r="Q477" i="9"/>
  <c r="Q476" i="9" s="1"/>
  <c r="Q475" i="9" s="1"/>
  <c r="O441" i="9"/>
  <c r="Q442" i="9"/>
  <c r="Q441" i="9" s="1"/>
  <c r="O459" i="9"/>
  <c r="E97" i="11" s="1"/>
  <c r="Q460" i="9"/>
  <c r="Q459" i="9" s="1"/>
  <c r="O455" i="9"/>
  <c r="E95" i="11" s="1"/>
  <c r="E93" i="11" s="1"/>
  <c r="Q456" i="9"/>
  <c r="Q455" i="9" s="1"/>
  <c r="Q496" i="9"/>
  <c r="Q495" i="9" s="1"/>
  <c r="Q494" i="9" s="1"/>
  <c r="Q493" i="9" s="1"/>
  <c r="I31" i="9"/>
  <c r="I54" i="9"/>
  <c r="I71" i="9"/>
  <c r="I110" i="9"/>
  <c r="I109" i="9" s="1"/>
  <c r="I125" i="9"/>
  <c r="O199" i="9"/>
  <c r="M275" i="9"/>
  <c r="O276" i="9"/>
  <c r="M98" i="9"/>
  <c r="M91" i="9" s="1"/>
  <c r="O99" i="9"/>
  <c r="M332" i="9"/>
  <c r="O333" i="9"/>
  <c r="M506" i="9"/>
  <c r="M505" i="9" s="1"/>
  <c r="M504" i="9" s="1"/>
  <c r="O507" i="9"/>
  <c r="M513" i="9"/>
  <c r="O514" i="9"/>
  <c r="M519" i="9"/>
  <c r="O520" i="9"/>
  <c r="M523" i="9"/>
  <c r="O524" i="9"/>
  <c r="M543" i="9"/>
  <c r="O544" i="9"/>
  <c r="M195" i="9"/>
  <c r="O196" i="9"/>
  <c r="M219" i="9"/>
  <c r="O220" i="9"/>
  <c r="M279" i="9"/>
  <c r="O280" i="9"/>
  <c r="M381" i="9"/>
  <c r="O382" i="9"/>
  <c r="M107" i="9"/>
  <c r="O108" i="9"/>
  <c r="M157" i="9"/>
  <c r="O158" i="9"/>
  <c r="M404" i="9"/>
  <c r="O405" i="9"/>
  <c r="O496" i="9"/>
  <c r="O495" i="9" s="1"/>
  <c r="O494" i="9" s="1"/>
  <c r="O493" i="9" s="1"/>
  <c r="E39" i="11" s="1"/>
  <c r="M339" i="9"/>
  <c r="O340" i="9"/>
  <c r="M345" i="9"/>
  <c r="O346" i="9"/>
  <c r="M510" i="9"/>
  <c r="M509" i="9" s="1"/>
  <c r="O511" i="9"/>
  <c r="M521" i="9"/>
  <c r="O522" i="9"/>
  <c r="M525" i="9"/>
  <c r="O526" i="9"/>
  <c r="M205" i="9"/>
  <c r="O206" i="9"/>
  <c r="M262" i="9"/>
  <c r="O263" i="9"/>
  <c r="M69" i="9"/>
  <c r="O70" i="9"/>
  <c r="M88" i="9"/>
  <c r="O89" i="9"/>
  <c r="M115" i="9"/>
  <c r="M114" i="9" s="1"/>
  <c r="O116" i="9"/>
  <c r="M144" i="9"/>
  <c r="O145" i="9"/>
  <c r="M171" i="9"/>
  <c r="M170" i="9" s="1"/>
  <c r="M169" i="9" s="1"/>
  <c r="O172" i="9"/>
  <c r="M406" i="9"/>
  <c r="O407" i="9"/>
  <c r="M428" i="9"/>
  <c r="O429" i="9"/>
  <c r="O228" i="9"/>
  <c r="E124" i="11" s="1"/>
  <c r="M101" i="9"/>
  <c r="M100" i="9" s="1"/>
  <c r="O102" i="9"/>
  <c r="M46" i="9"/>
  <c r="M106" i="9"/>
  <c r="L554" i="9"/>
  <c r="M515" i="9"/>
  <c r="M512" i="9" s="1"/>
  <c r="M199" i="9"/>
  <c r="M198" i="9" s="1"/>
  <c r="M231" i="9"/>
  <c r="M249" i="9"/>
  <c r="M518" i="9"/>
  <c r="M156" i="9"/>
  <c r="M496" i="9"/>
  <c r="M495" i="9" s="1"/>
  <c r="M494" i="9" s="1"/>
  <c r="M493" i="9" s="1"/>
  <c r="M228" i="9"/>
  <c r="K271" i="9"/>
  <c r="K270" i="9" s="1"/>
  <c r="H554" i="9"/>
  <c r="K101" i="9"/>
  <c r="K100" i="9" s="1"/>
  <c r="M192" i="9"/>
  <c r="K98" i="9"/>
  <c r="K91" i="9" s="1"/>
  <c r="M411" i="9"/>
  <c r="I46" i="9"/>
  <c r="M34" i="9"/>
  <c r="M57" i="9"/>
  <c r="M72" i="9"/>
  <c r="O72" i="9" s="1"/>
  <c r="Q72" i="9" s="1"/>
  <c r="M119" i="9"/>
  <c r="M121" i="9"/>
  <c r="M126" i="9"/>
  <c r="M168" i="9"/>
  <c r="M204" i="9"/>
  <c r="M218" i="9"/>
  <c r="M289" i="9"/>
  <c r="M298" i="9"/>
  <c r="M308" i="9"/>
  <c r="M317" i="9"/>
  <c r="M348" i="9"/>
  <c r="M367" i="9"/>
  <c r="M485" i="9"/>
  <c r="I33" i="9"/>
  <c r="I30" i="9" s="1"/>
  <c r="I118" i="9"/>
  <c r="I117" i="9" s="1"/>
  <c r="I123" i="9"/>
  <c r="I127" i="9"/>
  <c r="I139" i="9"/>
  <c r="I138" i="9" s="1"/>
  <c r="M28" i="9"/>
  <c r="M32" i="9"/>
  <c r="M36" i="9"/>
  <c r="M51" i="9"/>
  <c r="O51" i="9" s="1"/>
  <c r="M55" i="9"/>
  <c r="M87" i="9"/>
  <c r="M124" i="9"/>
  <c r="M128" i="9"/>
  <c r="M130" i="9"/>
  <c r="M140" i="9"/>
  <c r="M151" i="9"/>
  <c r="M185" i="9"/>
  <c r="M191" i="9"/>
  <c r="M211" i="9"/>
  <c r="M272" i="9"/>
  <c r="M291" i="9"/>
  <c r="M295" i="9"/>
  <c r="M313" i="9"/>
  <c r="M319" i="9"/>
  <c r="M470" i="9"/>
  <c r="M487" i="9"/>
  <c r="M325" i="9"/>
  <c r="M331" i="9"/>
  <c r="K496" i="9"/>
  <c r="K495" i="9" s="1"/>
  <c r="K494" i="9" s="1"/>
  <c r="K493" i="9" s="1"/>
  <c r="K296" i="9"/>
  <c r="K479" i="9"/>
  <c r="K478" i="9" s="1"/>
  <c r="K46" i="9"/>
  <c r="K138" i="9"/>
  <c r="K202" i="9"/>
  <c r="K275" i="9"/>
  <c r="K274" i="9" s="1"/>
  <c r="K311" i="9"/>
  <c r="K310" i="9" s="1"/>
  <c r="K189" i="9"/>
  <c r="K188" i="9" s="1"/>
  <c r="K207" i="9"/>
  <c r="K293" i="9"/>
  <c r="K306" i="9"/>
  <c r="K305" i="9" s="1"/>
  <c r="K411" i="9"/>
  <c r="K409" i="9" s="1"/>
  <c r="K53" i="9"/>
  <c r="K132" i="9"/>
  <c r="K419" i="9"/>
  <c r="K50" i="9"/>
  <c r="I50" i="9"/>
  <c r="I49" i="9" s="1"/>
  <c r="I479" i="9"/>
  <c r="I478" i="9" s="1"/>
  <c r="I528" i="9"/>
  <c r="I527" i="9" s="1"/>
  <c r="I508" i="9" s="1"/>
  <c r="I503" i="9" s="1"/>
  <c r="K59" i="9"/>
  <c r="K136" i="9"/>
  <c r="K472" i="9"/>
  <c r="K474" i="9"/>
  <c r="K529" i="9"/>
  <c r="K323" i="9"/>
  <c r="K322" i="9" s="1"/>
  <c r="I330" i="9"/>
  <c r="I327" i="9" s="1"/>
  <c r="I326" i="9" s="1"/>
  <c r="K315" i="9"/>
  <c r="K314" i="9" s="1"/>
  <c r="I287" i="9"/>
  <c r="I286" i="9" s="1"/>
  <c r="K30" i="9"/>
  <c r="K117" i="9"/>
  <c r="K287" i="9"/>
  <c r="K286" i="9" s="1"/>
  <c r="K111" i="9"/>
  <c r="I411" i="9"/>
  <c r="I409" i="9" s="1"/>
  <c r="I448" i="9"/>
  <c r="I292" i="9"/>
  <c r="I197" i="9"/>
  <c r="I90" i="9"/>
  <c r="G46" i="9"/>
  <c r="I432" i="9"/>
  <c r="I436" i="9"/>
  <c r="I440" i="9"/>
  <c r="I438" i="9"/>
  <c r="I73" i="9"/>
  <c r="I337" i="9"/>
  <c r="I155" i="9"/>
  <c r="G244" i="9"/>
  <c r="I244" i="9" s="1"/>
  <c r="K244" i="9" s="1"/>
  <c r="M244" i="9" s="1"/>
  <c r="O244" i="9" s="1"/>
  <c r="Q244" i="9" s="1"/>
  <c r="G446" i="9"/>
  <c r="I446" i="9" s="1"/>
  <c r="G344" i="9"/>
  <c r="I344" i="9" s="1"/>
  <c r="I122" i="9" l="1"/>
  <c r="K292" i="9"/>
  <c r="O101" i="9"/>
  <c r="E103" i="11" s="1"/>
  <c r="Q102" i="9"/>
  <c r="Q101" i="9" s="1"/>
  <c r="Q100" i="9" s="1"/>
  <c r="O404" i="9"/>
  <c r="E56" i="11" s="1"/>
  <c r="Q405" i="9"/>
  <c r="Q404" i="9" s="1"/>
  <c r="O157" i="9"/>
  <c r="Q158" i="9"/>
  <c r="Q157" i="9" s="1"/>
  <c r="Q156" i="9" s="1"/>
  <c r="O107" i="9"/>
  <c r="Q108" i="9"/>
  <c r="Q107" i="9" s="1"/>
  <c r="Q106" i="9" s="1"/>
  <c r="O381" i="9"/>
  <c r="Q382" i="9"/>
  <c r="Q381" i="9" s="1"/>
  <c r="O279" i="9"/>
  <c r="Q280" i="9"/>
  <c r="Q279" i="9" s="1"/>
  <c r="O219" i="9"/>
  <c r="E122" i="11" s="1"/>
  <c r="Q220" i="9"/>
  <c r="Q219" i="9" s="1"/>
  <c r="O195" i="9"/>
  <c r="Q196" i="9"/>
  <c r="Q195" i="9" s="1"/>
  <c r="Q192" i="9" s="1"/>
  <c r="O543" i="9"/>
  <c r="E36" i="11" s="1"/>
  <c r="Q544" i="9"/>
  <c r="Q543" i="9" s="1"/>
  <c r="O523" i="9"/>
  <c r="Q524" i="9"/>
  <c r="Q523" i="9" s="1"/>
  <c r="O519" i="9"/>
  <c r="E111" i="11" s="1"/>
  <c r="Q520" i="9"/>
  <c r="Q519" i="9" s="1"/>
  <c r="O513" i="9"/>
  <c r="Q514" i="9"/>
  <c r="Q513" i="9" s="1"/>
  <c r="Q512" i="9" s="1"/>
  <c r="O506" i="9"/>
  <c r="O505" i="9" s="1"/>
  <c r="O504" i="9" s="1"/>
  <c r="Q507" i="9"/>
  <c r="Q506" i="9" s="1"/>
  <c r="Q505" i="9" s="1"/>
  <c r="Q504" i="9" s="1"/>
  <c r="O332" i="9"/>
  <c r="E156" i="11" s="1"/>
  <c r="Q333" i="9"/>
  <c r="Q332" i="9" s="1"/>
  <c r="O98" i="9"/>
  <c r="Q99" i="9"/>
  <c r="Q98" i="9" s="1"/>
  <c r="Q91" i="9" s="1"/>
  <c r="O275" i="9"/>
  <c r="Q276" i="9"/>
  <c r="Q275" i="9" s="1"/>
  <c r="Q274" i="9" s="1"/>
  <c r="O198" i="9"/>
  <c r="E84" i="11"/>
  <c r="O475" i="9"/>
  <c r="E143" i="11"/>
  <c r="O488" i="9"/>
  <c r="E68" i="11"/>
  <c r="E66" i="11" s="1"/>
  <c r="O409" i="9"/>
  <c r="O50" i="9"/>
  <c r="E35" i="11"/>
  <c r="Q51" i="9"/>
  <c r="Q50" i="9" s="1"/>
  <c r="O428" i="9"/>
  <c r="E73" i="11" s="1"/>
  <c r="E72" i="11" s="1"/>
  <c r="Q429" i="9"/>
  <c r="Q428" i="9" s="1"/>
  <c r="O406" i="9"/>
  <c r="E57" i="11" s="1"/>
  <c r="Q407" i="9"/>
  <c r="Q406" i="9" s="1"/>
  <c r="O171" i="9"/>
  <c r="O170" i="9" s="1"/>
  <c r="O169" i="9" s="1"/>
  <c r="Q172" i="9"/>
  <c r="Q171" i="9" s="1"/>
  <c r="Q170" i="9" s="1"/>
  <c r="Q169" i="9" s="1"/>
  <c r="O144" i="9"/>
  <c r="E195" i="11" s="1"/>
  <c r="Q145" i="9"/>
  <c r="Q144" i="9" s="1"/>
  <c r="O115" i="9"/>
  <c r="Q116" i="9"/>
  <c r="Q115" i="9" s="1"/>
  <c r="Q114" i="9" s="1"/>
  <c r="O88" i="9"/>
  <c r="Q89" i="9"/>
  <c r="Q88" i="9" s="1"/>
  <c r="O69" i="9"/>
  <c r="E49" i="11" s="1"/>
  <c r="Q70" i="9"/>
  <c r="Q69" i="9" s="1"/>
  <c r="O262" i="9"/>
  <c r="E142" i="11" s="1"/>
  <c r="Q263" i="9"/>
  <c r="Q262" i="9" s="1"/>
  <c r="O205" i="9"/>
  <c r="E90" i="11" s="1"/>
  <c r="Q206" i="9"/>
  <c r="Q205" i="9" s="1"/>
  <c r="O525" i="9"/>
  <c r="E114" i="11" s="1"/>
  <c r="Q526" i="9"/>
  <c r="Q525" i="9" s="1"/>
  <c r="O521" i="9"/>
  <c r="E112" i="11" s="1"/>
  <c r="Q522" i="9"/>
  <c r="Q521" i="9" s="1"/>
  <c r="O510" i="9"/>
  <c r="O509" i="9" s="1"/>
  <c r="Q511" i="9"/>
  <c r="Q510" i="9" s="1"/>
  <c r="Q509" i="9" s="1"/>
  <c r="O345" i="9"/>
  <c r="E190" i="11" s="1"/>
  <c r="Q346" i="9"/>
  <c r="Q345" i="9" s="1"/>
  <c r="O339" i="9"/>
  <c r="E186" i="11" s="1"/>
  <c r="Q340" i="9"/>
  <c r="Q339" i="9" s="1"/>
  <c r="M403" i="9"/>
  <c r="M324" i="9"/>
  <c r="O325" i="9"/>
  <c r="M469" i="9"/>
  <c r="O470" i="9"/>
  <c r="M312" i="9"/>
  <c r="O313" i="9"/>
  <c r="M290" i="9"/>
  <c r="O291" i="9"/>
  <c r="M210" i="9"/>
  <c r="O211" i="9"/>
  <c r="M184" i="9"/>
  <c r="O185" i="9"/>
  <c r="M139" i="9"/>
  <c r="O140" i="9"/>
  <c r="M127" i="9"/>
  <c r="O128" i="9"/>
  <c r="M86" i="9"/>
  <c r="M85" i="9" s="1"/>
  <c r="O87" i="9"/>
  <c r="M31" i="9"/>
  <c r="O32" i="9"/>
  <c r="Q32" i="9" s="1"/>
  <c r="Q31" i="9" s="1"/>
  <c r="M366" i="9"/>
  <c r="O367" i="9"/>
  <c r="M316" i="9"/>
  <c r="O317" i="9"/>
  <c r="M297" i="9"/>
  <c r="O298" i="9"/>
  <c r="M217" i="9"/>
  <c r="O218" i="9"/>
  <c r="M167" i="9"/>
  <c r="O168" i="9"/>
  <c r="M120" i="9"/>
  <c r="O121" i="9"/>
  <c r="M33" i="9"/>
  <c r="O34" i="9"/>
  <c r="O100" i="9"/>
  <c r="M274" i="9"/>
  <c r="M330" i="9"/>
  <c r="O331" i="9"/>
  <c r="M486" i="9"/>
  <c r="O487" i="9"/>
  <c r="O319" i="9"/>
  <c r="M294" i="9"/>
  <c r="O295" i="9"/>
  <c r="M271" i="9"/>
  <c r="O272" i="9"/>
  <c r="M190" i="9"/>
  <c r="O191" i="9"/>
  <c r="M150" i="9"/>
  <c r="O151" i="9"/>
  <c r="M129" i="9"/>
  <c r="O130" i="9"/>
  <c r="M123" i="9"/>
  <c r="O124" i="9"/>
  <c r="M54" i="9"/>
  <c r="O55" i="9"/>
  <c r="M35" i="9"/>
  <c r="O36" i="9"/>
  <c r="M27" i="9"/>
  <c r="O28" i="9"/>
  <c r="M484" i="9"/>
  <c r="O485" i="9"/>
  <c r="M347" i="9"/>
  <c r="O348" i="9"/>
  <c r="M307" i="9"/>
  <c r="O308" i="9"/>
  <c r="Q308" i="9" s="1"/>
  <c r="Q307" i="9" s="1"/>
  <c r="Q306" i="9" s="1"/>
  <c r="Q305" i="9" s="1"/>
  <c r="M288" i="9"/>
  <c r="O289" i="9"/>
  <c r="M203" i="9"/>
  <c r="O204" i="9"/>
  <c r="M125" i="9"/>
  <c r="O126" i="9"/>
  <c r="M118" i="9"/>
  <c r="O119" i="9"/>
  <c r="O403" i="9"/>
  <c r="O518" i="9"/>
  <c r="M56" i="9"/>
  <c r="O57" i="9"/>
  <c r="M315" i="9"/>
  <c r="M318" i="9"/>
  <c r="M479" i="9"/>
  <c r="M478" i="9" s="1"/>
  <c r="M323" i="9"/>
  <c r="M322" i="9" s="1"/>
  <c r="M311" i="9"/>
  <c r="M310" i="9" s="1"/>
  <c r="M207" i="9"/>
  <c r="M183" i="9"/>
  <c r="M138" i="9"/>
  <c r="M79" i="9"/>
  <c r="M50" i="9"/>
  <c r="M306" i="9"/>
  <c r="M305" i="9" s="1"/>
  <c r="M202" i="9"/>
  <c r="M117" i="9"/>
  <c r="M293" i="9"/>
  <c r="M270" i="9"/>
  <c r="M189" i="9"/>
  <c r="M188" i="9" s="1"/>
  <c r="E55" i="11"/>
  <c r="M296" i="9"/>
  <c r="M409" i="9"/>
  <c r="K110" i="9"/>
  <c r="M111" i="9"/>
  <c r="K473" i="9"/>
  <c r="M474" i="9"/>
  <c r="K135" i="9"/>
  <c r="M136" i="9"/>
  <c r="K131" i="9"/>
  <c r="M132" i="9"/>
  <c r="M327" i="9"/>
  <c r="M326" i="9" s="1"/>
  <c r="M287" i="9"/>
  <c r="M286" i="9" s="1"/>
  <c r="K528" i="9"/>
  <c r="M529" i="9"/>
  <c r="K471" i="9"/>
  <c r="M472" i="9"/>
  <c r="K58" i="9"/>
  <c r="M59" i="9"/>
  <c r="K416" i="9"/>
  <c r="K415" i="9" s="1"/>
  <c r="M419" i="9"/>
  <c r="K52" i="9"/>
  <c r="M53" i="9"/>
  <c r="M30" i="9"/>
  <c r="K122" i="9"/>
  <c r="K113" i="9" s="1"/>
  <c r="I437" i="9"/>
  <c r="K438" i="9"/>
  <c r="K527" i="9"/>
  <c r="K508" i="9" s="1"/>
  <c r="K503" i="9" s="1"/>
  <c r="K197" i="9"/>
  <c r="I343" i="9"/>
  <c r="K344" i="9"/>
  <c r="I336" i="9"/>
  <c r="I335" i="9" s="1"/>
  <c r="K337" i="9"/>
  <c r="I435" i="9"/>
  <c r="K436" i="9"/>
  <c r="I445" i="9"/>
  <c r="I444" i="9" s="1"/>
  <c r="I443" i="9" s="1"/>
  <c r="K446" i="9"/>
  <c r="I154" i="9"/>
  <c r="I153" i="9" s="1"/>
  <c r="I152" i="9" s="1"/>
  <c r="K155" i="9"/>
  <c r="I68" i="9"/>
  <c r="I67" i="9" s="1"/>
  <c r="K73" i="9"/>
  <c r="M73" i="9" s="1"/>
  <c r="I439" i="9"/>
  <c r="K440" i="9"/>
  <c r="I431" i="9"/>
  <c r="K432" i="9"/>
  <c r="K134" i="9"/>
  <c r="K133" i="9" s="1"/>
  <c r="K49" i="9"/>
  <c r="K448" i="9"/>
  <c r="K109" i="9"/>
  <c r="K90" i="9" s="1"/>
  <c r="I430" i="9"/>
  <c r="I113" i="9"/>
  <c r="G224" i="9"/>
  <c r="I224" i="9" s="1"/>
  <c r="K224" i="9" s="1"/>
  <c r="M224" i="9" s="1"/>
  <c r="O224" i="9" s="1"/>
  <c r="Q224" i="9" s="1"/>
  <c r="G362" i="9"/>
  <c r="I362" i="9" s="1"/>
  <c r="G360" i="9"/>
  <c r="I360" i="9" s="1"/>
  <c r="K360" i="9" s="1"/>
  <c r="M360" i="9" s="1"/>
  <c r="O360" i="9" s="1"/>
  <c r="Q360" i="9" s="1"/>
  <c r="G359" i="9"/>
  <c r="I359" i="9" s="1"/>
  <c r="K359" i="9" s="1"/>
  <c r="M359" i="9" s="1"/>
  <c r="O359" i="9" s="1"/>
  <c r="Q359" i="9" s="1"/>
  <c r="G357" i="9"/>
  <c r="I357" i="9" s="1"/>
  <c r="K357" i="9" s="1"/>
  <c r="M357" i="9" s="1"/>
  <c r="O357" i="9" s="1"/>
  <c r="Q357" i="9" s="1"/>
  <c r="Q356" i="9" s="1"/>
  <c r="O486" i="9" l="1"/>
  <c r="E129" i="11" s="1"/>
  <c r="Q487" i="9"/>
  <c r="Q486" i="9" s="1"/>
  <c r="O330" i="9"/>
  <c r="E155" i="11" s="1"/>
  <c r="Q331" i="9"/>
  <c r="Q330" i="9" s="1"/>
  <c r="Q327" i="9" s="1"/>
  <c r="Q326" i="9" s="1"/>
  <c r="O33" i="9"/>
  <c r="E28" i="11" s="1"/>
  <c r="Q34" i="9"/>
  <c r="Q33" i="9" s="1"/>
  <c r="O120" i="9"/>
  <c r="E154" i="11" s="1"/>
  <c r="E153" i="11" s="1"/>
  <c r="Q121" i="9"/>
  <c r="Q120" i="9" s="1"/>
  <c r="O167" i="9"/>
  <c r="E18" i="11" s="1"/>
  <c r="Q168" i="9"/>
  <c r="Q167" i="9" s="1"/>
  <c r="O217" i="9"/>
  <c r="E121" i="11" s="1"/>
  <c r="Q218" i="9"/>
  <c r="Q217" i="9" s="1"/>
  <c r="O297" i="9"/>
  <c r="O296" i="9" s="1"/>
  <c r="Q298" i="9"/>
  <c r="Q297" i="9" s="1"/>
  <c r="Q296" i="9" s="1"/>
  <c r="O316" i="9"/>
  <c r="Q317" i="9"/>
  <c r="Q316" i="9" s="1"/>
  <c r="Q315" i="9" s="1"/>
  <c r="O366" i="9"/>
  <c r="E202" i="11" s="1"/>
  <c r="Q367" i="9"/>
  <c r="Q366" i="9" s="1"/>
  <c r="O86" i="9"/>
  <c r="Q87" i="9"/>
  <c r="Q86" i="9" s="1"/>
  <c r="Q85" i="9" s="1"/>
  <c r="Q79" i="9" s="1"/>
  <c r="O127" i="9"/>
  <c r="E163" i="11" s="1"/>
  <c r="Q128" i="9"/>
  <c r="Q127" i="9" s="1"/>
  <c r="O139" i="9"/>
  <c r="Q140" i="9"/>
  <c r="Q139" i="9" s="1"/>
  <c r="Q138" i="9" s="1"/>
  <c r="O184" i="9"/>
  <c r="Q185" i="9"/>
  <c r="Q184" i="9" s="1"/>
  <c r="Q183" i="9" s="1"/>
  <c r="O210" i="9"/>
  <c r="Q211" i="9"/>
  <c r="Q210" i="9" s="1"/>
  <c r="Q207" i="9" s="1"/>
  <c r="O290" i="9"/>
  <c r="E178" i="11" s="1"/>
  <c r="Q291" i="9"/>
  <c r="Q290" i="9" s="1"/>
  <c r="O312" i="9"/>
  <c r="Q313" i="9"/>
  <c r="Q312" i="9" s="1"/>
  <c r="Q311" i="9" s="1"/>
  <c r="Q310" i="9" s="1"/>
  <c r="O469" i="9"/>
  <c r="Q470" i="9"/>
  <c r="Q469" i="9" s="1"/>
  <c r="O324" i="9"/>
  <c r="O323" i="9" s="1"/>
  <c r="O322" i="9" s="1"/>
  <c r="Q325" i="9"/>
  <c r="Q324" i="9" s="1"/>
  <c r="Q323" i="9" s="1"/>
  <c r="Q322" i="9" s="1"/>
  <c r="O91" i="9"/>
  <c r="E88" i="11"/>
  <c r="E83" i="11" s="1"/>
  <c r="O512" i="9"/>
  <c r="E92" i="11"/>
  <c r="O192" i="9"/>
  <c r="E81" i="11"/>
  <c r="O106" i="9"/>
  <c r="E109" i="11"/>
  <c r="O156" i="9"/>
  <c r="E209" i="11"/>
  <c r="E208" i="11" s="1"/>
  <c r="O274" i="9"/>
  <c r="O56" i="9"/>
  <c r="E43" i="11" s="1"/>
  <c r="Q57" i="9"/>
  <c r="Q56" i="9" s="1"/>
  <c r="O118" i="9"/>
  <c r="Q119" i="9"/>
  <c r="Q118" i="9" s="1"/>
  <c r="Q117" i="9" s="1"/>
  <c r="O125" i="9"/>
  <c r="E162" i="11" s="1"/>
  <c r="Q126" i="9"/>
  <c r="Q125" i="9" s="1"/>
  <c r="O203" i="9"/>
  <c r="O202" i="9" s="1"/>
  <c r="Q204" i="9"/>
  <c r="Q203" i="9" s="1"/>
  <c r="Q202" i="9" s="1"/>
  <c r="Q197" i="9" s="1"/>
  <c r="O288" i="9"/>
  <c r="O287" i="9" s="1"/>
  <c r="O286" i="9" s="1"/>
  <c r="Q289" i="9"/>
  <c r="Q288" i="9" s="1"/>
  <c r="Q287" i="9" s="1"/>
  <c r="Q286" i="9" s="1"/>
  <c r="O347" i="9"/>
  <c r="E191" i="11" s="1"/>
  <c r="Q348" i="9"/>
  <c r="Q347" i="9" s="1"/>
  <c r="O484" i="9"/>
  <c r="Q485" i="9"/>
  <c r="Q484" i="9" s="1"/>
  <c r="Q479" i="9" s="1"/>
  <c r="Q478" i="9" s="1"/>
  <c r="O27" i="9"/>
  <c r="E21" i="11" s="1"/>
  <c r="Q28" i="9"/>
  <c r="Q27" i="9" s="1"/>
  <c r="O35" i="9"/>
  <c r="Q36" i="9"/>
  <c r="Q35" i="9" s="1"/>
  <c r="O54" i="9"/>
  <c r="E41" i="11" s="1"/>
  <c r="Q55" i="9"/>
  <c r="Q54" i="9" s="1"/>
  <c r="O123" i="9"/>
  <c r="E161" i="11" s="1"/>
  <c r="Q124" i="9"/>
  <c r="Q123" i="9" s="1"/>
  <c r="O129" i="9"/>
  <c r="E164" i="11" s="1"/>
  <c r="Q130" i="9"/>
  <c r="Q129" i="9" s="1"/>
  <c r="O150" i="9"/>
  <c r="E197" i="11" s="1"/>
  <c r="Q151" i="9"/>
  <c r="Q150" i="9" s="1"/>
  <c r="O190" i="9"/>
  <c r="O189" i="9" s="1"/>
  <c r="O188" i="9" s="1"/>
  <c r="Q191" i="9"/>
  <c r="Q190" i="9" s="1"/>
  <c r="Q189" i="9" s="1"/>
  <c r="Q188" i="9" s="1"/>
  <c r="O271" i="9"/>
  <c r="Q272" i="9"/>
  <c r="Q271" i="9" s="1"/>
  <c r="Q270" i="9" s="1"/>
  <c r="O294" i="9"/>
  <c r="Q295" i="9"/>
  <c r="Q294" i="9" s="1"/>
  <c r="Q293" i="9" s="1"/>
  <c r="Q292" i="9" s="1"/>
  <c r="Q319" i="9"/>
  <c r="Q318" i="9" s="1"/>
  <c r="O318" i="9"/>
  <c r="E224" i="11" s="1"/>
  <c r="O114" i="9"/>
  <c r="E139" i="11"/>
  <c r="Q518" i="9"/>
  <c r="Q403" i="9"/>
  <c r="O307" i="9"/>
  <c r="O327" i="9"/>
  <c r="O326" i="9" s="1"/>
  <c r="M52" i="9"/>
  <c r="O53" i="9"/>
  <c r="M416" i="9"/>
  <c r="O419" i="9"/>
  <c r="M471" i="9"/>
  <c r="O472" i="9"/>
  <c r="M528" i="9"/>
  <c r="O529" i="9"/>
  <c r="O31" i="9"/>
  <c r="E27" i="11" s="1"/>
  <c r="O30" i="9"/>
  <c r="O356" i="9"/>
  <c r="E200" i="11" s="1"/>
  <c r="M197" i="9"/>
  <c r="M71" i="9"/>
  <c r="O73" i="9"/>
  <c r="M131" i="9"/>
  <c r="M122" i="9" s="1"/>
  <c r="M113" i="9" s="1"/>
  <c r="O132" i="9"/>
  <c r="M135" i="9"/>
  <c r="O136" i="9"/>
  <c r="M473" i="9"/>
  <c r="O474" i="9"/>
  <c r="M110" i="9"/>
  <c r="M109" i="9" s="1"/>
  <c r="M90" i="9" s="1"/>
  <c r="O111" i="9"/>
  <c r="M58" i="9"/>
  <c r="O59" i="9"/>
  <c r="M68" i="9"/>
  <c r="M67" i="9" s="1"/>
  <c r="M314" i="9"/>
  <c r="M292" i="9"/>
  <c r="M415" i="9"/>
  <c r="M134" i="9"/>
  <c r="M133" i="9" s="1"/>
  <c r="K431" i="9"/>
  <c r="M432" i="9"/>
  <c r="K439" i="9"/>
  <c r="M440" i="9"/>
  <c r="K154" i="9"/>
  <c r="K153" i="9" s="1"/>
  <c r="K152" i="9" s="1"/>
  <c r="M155" i="9"/>
  <c r="K445" i="9"/>
  <c r="K444" i="9" s="1"/>
  <c r="K443" i="9" s="1"/>
  <c r="M446" i="9"/>
  <c r="K435" i="9"/>
  <c r="M436" i="9"/>
  <c r="K336" i="9"/>
  <c r="K335" i="9" s="1"/>
  <c r="M337" i="9"/>
  <c r="K343" i="9"/>
  <c r="M344" i="9"/>
  <c r="M356" i="9"/>
  <c r="K437" i="9"/>
  <c r="M438" i="9"/>
  <c r="K356" i="9"/>
  <c r="I361" i="9"/>
  <c r="K362" i="9"/>
  <c r="K68" i="9"/>
  <c r="K67" i="9" s="1"/>
  <c r="I356" i="9"/>
  <c r="G285" i="9"/>
  <c r="I285" i="9" s="1"/>
  <c r="G260" i="9"/>
  <c r="I260" i="9" s="1"/>
  <c r="G257" i="9"/>
  <c r="I257" i="9" s="1"/>
  <c r="O58" i="9" l="1"/>
  <c r="E42" i="11" s="1"/>
  <c r="Q59" i="9"/>
  <c r="Q58" i="9" s="1"/>
  <c r="O110" i="9"/>
  <c r="Q111" i="9"/>
  <c r="Q110" i="9" s="1"/>
  <c r="Q109" i="9" s="1"/>
  <c r="Q90" i="9" s="1"/>
  <c r="O473" i="9"/>
  <c r="E107" i="11" s="1"/>
  <c r="Q474" i="9"/>
  <c r="Q473" i="9" s="1"/>
  <c r="O135" i="9"/>
  <c r="Q136" i="9"/>
  <c r="Q135" i="9" s="1"/>
  <c r="Q134" i="9" s="1"/>
  <c r="Q133" i="9" s="1"/>
  <c r="O131" i="9"/>
  <c r="Q132" i="9"/>
  <c r="Q131" i="9" s="1"/>
  <c r="O71" i="9"/>
  <c r="Q73" i="9"/>
  <c r="Q71" i="9" s="1"/>
  <c r="Q68" i="9" s="1"/>
  <c r="Q67" i="9" s="1"/>
  <c r="O528" i="9"/>
  <c r="Q529" i="9"/>
  <c r="Q528" i="9" s="1"/>
  <c r="Q527" i="9" s="1"/>
  <c r="Q508" i="9" s="1"/>
  <c r="Q503" i="9" s="1"/>
  <c r="O471" i="9"/>
  <c r="E106" i="11" s="1"/>
  <c r="Q472" i="9"/>
  <c r="Q471" i="9" s="1"/>
  <c r="Q419" i="9"/>
  <c r="Q416" i="9" s="1"/>
  <c r="Q415" i="9" s="1"/>
  <c r="E62" i="11"/>
  <c r="E59" i="11" s="1"/>
  <c r="O416" i="9"/>
  <c r="O415" i="9" s="1"/>
  <c r="O52" i="9"/>
  <c r="Q53" i="9"/>
  <c r="Q52" i="9" s="1"/>
  <c r="Q49" i="9" s="1"/>
  <c r="O293" i="9"/>
  <c r="O292" i="9" s="1"/>
  <c r="E184" i="11"/>
  <c r="O270" i="9"/>
  <c r="E149" i="11"/>
  <c r="O479" i="9"/>
  <c r="O478" i="9" s="1"/>
  <c r="E128" i="11"/>
  <c r="O117" i="9"/>
  <c r="E152" i="11"/>
  <c r="O448" i="9"/>
  <c r="E105" i="11"/>
  <c r="O311" i="9"/>
  <c r="O310" i="9" s="1"/>
  <c r="E216" i="11"/>
  <c r="O207" i="9"/>
  <c r="E113" i="11"/>
  <c r="E108" i="11" s="1"/>
  <c r="O183" i="9"/>
  <c r="O138" i="9"/>
  <c r="O85" i="9"/>
  <c r="O79" i="9" s="1"/>
  <c r="E80" i="11"/>
  <c r="O315" i="9"/>
  <c r="O314" i="9" s="1"/>
  <c r="E220" i="11"/>
  <c r="O197" i="9"/>
  <c r="O306" i="9"/>
  <c r="O305" i="9" s="1"/>
  <c r="E213" i="11"/>
  <c r="Q122" i="9"/>
  <c r="Q113" i="9" s="1"/>
  <c r="Q448" i="9"/>
  <c r="Q314" i="9"/>
  <c r="Q30" i="9"/>
  <c r="O68" i="9"/>
  <c r="O67" i="9" s="1"/>
  <c r="E50" i="11"/>
  <c r="E48" i="11" s="1"/>
  <c r="M49" i="9"/>
  <c r="K430" i="9"/>
  <c r="E89" i="11"/>
  <c r="M343" i="9"/>
  <c r="O344" i="9"/>
  <c r="M336" i="9"/>
  <c r="M335" i="9" s="1"/>
  <c r="O337" i="9"/>
  <c r="M435" i="9"/>
  <c r="O436" i="9"/>
  <c r="M445" i="9"/>
  <c r="M444" i="9" s="1"/>
  <c r="O446" i="9"/>
  <c r="M154" i="9"/>
  <c r="O155" i="9"/>
  <c r="M439" i="9"/>
  <c r="O440" i="9"/>
  <c r="M431" i="9"/>
  <c r="O432" i="9"/>
  <c r="M448" i="9"/>
  <c r="M437" i="9"/>
  <c r="O438" i="9"/>
  <c r="M153" i="9"/>
  <c r="M152" i="9" s="1"/>
  <c r="M527" i="9"/>
  <c r="M508" i="9" s="1"/>
  <c r="M503" i="9" s="1"/>
  <c r="K361" i="9"/>
  <c r="M362" i="9"/>
  <c r="I259" i="9"/>
  <c r="K260" i="9"/>
  <c r="I256" i="9"/>
  <c r="K257" i="9"/>
  <c r="I284" i="9"/>
  <c r="I281" i="9" s="1"/>
  <c r="K285" i="9"/>
  <c r="I255" i="9"/>
  <c r="G45" i="9"/>
  <c r="I45" i="9" s="1"/>
  <c r="K45" i="9" s="1"/>
  <c r="M45" i="9" s="1"/>
  <c r="O45" i="9" s="1"/>
  <c r="Q45" i="9" s="1"/>
  <c r="G44" i="9"/>
  <c r="I44" i="9" s="1"/>
  <c r="G149" i="9"/>
  <c r="I149" i="9" s="1"/>
  <c r="K149" i="9" s="1"/>
  <c r="M149" i="9" s="1"/>
  <c r="O149" i="9" s="1"/>
  <c r="Q149" i="9" s="1"/>
  <c r="G148" i="9"/>
  <c r="I148" i="9" s="1"/>
  <c r="K148" i="9" s="1"/>
  <c r="M148" i="9" s="1"/>
  <c r="O148" i="9" s="1"/>
  <c r="Q148" i="9" s="1"/>
  <c r="G147" i="9"/>
  <c r="I147" i="9" s="1"/>
  <c r="G66" i="9"/>
  <c r="I66" i="9" s="1"/>
  <c r="K66" i="9" s="1"/>
  <c r="M66" i="9" s="1"/>
  <c r="O66" i="9" s="1"/>
  <c r="Q66" i="9" s="1"/>
  <c r="G65" i="9"/>
  <c r="I65" i="9" s="1"/>
  <c r="K65" i="9" s="1"/>
  <c r="M65" i="9" s="1"/>
  <c r="O65" i="9" s="1"/>
  <c r="Q65" i="9" s="1"/>
  <c r="G63" i="9"/>
  <c r="I63" i="9" s="1"/>
  <c r="K63" i="9" s="1"/>
  <c r="G39" i="9"/>
  <c r="O437" i="9" l="1"/>
  <c r="E78" i="11" s="1"/>
  <c r="Q438" i="9"/>
  <c r="Q437" i="9" s="1"/>
  <c r="O49" i="9"/>
  <c r="E37" i="11"/>
  <c r="O527" i="9"/>
  <c r="O508" i="9" s="1"/>
  <c r="O503" i="9" s="1"/>
  <c r="E116" i="11"/>
  <c r="O122" i="9"/>
  <c r="O113" i="9" s="1"/>
  <c r="E165" i="11"/>
  <c r="O134" i="9"/>
  <c r="O133" i="9" s="1"/>
  <c r="E172" i="11"/>
  <c r="O109" i="9"/>
  <c r="O90" i="9" s="1"/>
  <c r="E117" i="11"/>
  <c r="O431" i="9"/>
  <c r="E76" i="11" s="1"/>
  <c r="Q432" i="9"/>
  <c r="Q431" i="9" s="1"/>
  <c r="O439" i="9"/>
  <c r="E79" i="11" s="1"/>
  <c r="Q440" i="9"/>
  <c r="Q439" i="9" s="1"/>
  <c r="O154" i="9"/>
  <c r="Q155" i="9"/>
  <c r="Q154" i="9" s="1"/>
  <c r="Q153" i="9" s="1"/>
  <c r="Q152" i="9" s="1"/>
  <c r="O445" i="9"/>
  <c r="O444" i="9" s="1"/>
  <c r="O443" i="9" s="1"/>
  <c r="Q446" i="9"/>
  <c r="Q445" i="9" s="1"/>
  <c r="Q444" i="9" s="1"/>
  <c r="Q443" i="9" s="1"/>
  <c r="O435" i="9"/>
  <c r="Q436" i="9"/>
  <c r="Q435" i="9" s="1"/>
  <c r="O336" i="9"/>
  <c r="Q337" i="9"/>
  <c r="Q336" i="9" s="1"/>
  <c r="Q335" i="9" s="1"/>
  <c r="O343" i="9"/>
  <c r="E189" i="11" s="1"/>
  <c r="Q344" i="9"/>
  <c r="Q343" i="9" s="1"/>
  <c r="M430" i="9"/>
  <c r="M361" i="9"/>
  <c r="O362" i="9"/>
  <c r="M443" i="9"/>
  <c r="K284" i="9"/>
  <c r="K281" i="9" s="1"/>
  <c r="M285" i="9"/>
  <c r="K256" i="9"/>
  <c r="M257" i="9"/>
  <c r="K259" i="9"/>
  <c r="M260" i="9"/>
  <c r="K62" i="9"/>
  <c r="M63" i="9"/>
  <c r="I146" i="9"/>
  <c r="I141" i="9" s="1"/>
  <c r="I137" i="9" s="1"/>
  <c r="K147" i="9"/>
  <c r="K61" i="9"/>
  <c r="K60" i="9" s="1"/>
  <c r="I43" i="9"/>
  <c r="K44" i="9"/>
  <c r="G38" i="9"/>
  <c r="I39" i="9"/>
  <c r="I62" i="9"/>
  <c r="I61" i="9" s="1"/>
  <c r="I60" i="9" s="1"/>
  <c r="G486" i="9"/>
  <c r="G372" i="9"/>
  <c r="I372" i="9" s="1"/>
  <c r="K372" i="9" s="1"/>
  <c r="M372" i="9" s="1"/>
  <c r="O372" i="9" s="1"/>
  <c r="Q372" i="9" s="1"/>
  <c r="G131" i="9"/>
  <c r="G266" i="9"/>
  <c r="I266" i="9" s="1"/>
  <c r="G226" i="9"/>
  <c r="I226" i="9" s="1"/>
  <c r="E75" i="11" l="1"/>
  <c r="O430" i="9"/>
  <c r="O335" i="9"/>
  <c r="E181" i="11"/>
  <c r="O153" i="9"/>
  <c r="O152" i="9" s="1"/>
  <c r="E206" i="11"/>
  <c r="O361" i="9"/>
  <c r="E201" i="11" s="1"/>
  <c r="Q362" i="9"/>
  <c r="Q361" i="9" s="1"/>
  <c r="Q430" i="9"/>
  <c r="M62" i="9"/>
  <c r="O63" i="9"/>
  <c r="M259" i="9"/>
  <c r="O260" i="9"/>
  <c r="M256" i="9"/>
  <c r="M255" i="9" s="1"/>
  <c r="O257" i="9"/>
  <c r="M284" i="9"/>
  <c r="M281" i="9" s="1"/>
  <c r="O285" i="9"/>
  <c r="M61" i="9"/>
  <c r="M60" i="9" s="1"/>
  <c r="K43" i="9"/>
  <c r="M44" i="9"/>
  <c r="K146" i="9"/>
  <c r="K141" i="9" s="1"/>
  <c r="K137" i="9" s="1"/>
  <c r="M147" i="9"/>
  <c r="K255" i="9"/>
  <c r="I264" i="9"/>
  <c r="K266" i="9"/>
  <c r="I225" i="9"/>
  <c r="K226" i="9"/>
  <c r="I38" i="9"/>
  <c r="I37" i="9" s="1"/>
  <c r="K39" i="9"/>
  <c r="G58" i="9"/>
  <c r="O284" i="9" l="1"/>
  <c r="Q285" i="9"/>
  <c r="Q284" i="9" s="1"/>
  <c r="Q281" i="9" s="1"/>
  <c r="O256" i="9"/>
  <c r="Q257" i="9"/>
  <c r="Q256" i="9" s="1"/>
  <c r="O259" i="9"/>
  <c r="Q260" i="9"/>
  <c r="Q259" i="9" s="1"/>
  <c r="O62" i="9"/>
  <c r="Q63" i="9"/>
  <c r="Q62" i="9" s="1"/>
  <c r="Q61" i="9" s="1"/>
  <c r="Q60" i="9" s="1"/>
  <c r="O255" i="9"/>
  <c r="E141" i="11" s="1"/>
  <c r="M146" i="9"/>
  <c r="M141" i="9" s="1"/>
  <c r="M137" i="9" s="1"/>
  <c r="O147" i="9"/>
  <c r="M43" i="9"/>
  <c r="O44" i="9"/>
  <c r="K38" i="9"/>
  <c r="M39" i="9"/>
  <c r="K225" i="9"/>
  <c r="M226" i="9"/>
  <c r="K264" i="9"/>
  <c r="M266" i="9"/>
  <c r="K37" i="9"/>
  <c r="G210" i="9"/>
  <c r="G551" i="9"/>
  <c r="I551" i="9" s="1"/>
  <c r="K551" i="9" s="1"/>
  <c r="M551" i="9" s="1"/>
  <c r="O551" i="9" s="1"/>
  <c r="Q551" i="9" s="1"/>
  <c r="G550" i="9"/>
  <c r="I550" i="9" s="1"/>
  <c r="K550" i="9" s="1"/>
  <c r="M550" i="9" s="1"/>
  <c r="O550" i="9" s="1"/>
  <c r="Q550" i="9" s="1"/>
  <c r="G549" i="9"/>
  <c r="I549" i="9" s="1"/>
  <c r="K549" i="9" s="1"/>
  <c r="M549" i="9" s="1"/>
  <c r="O549" i="9" s="1"/>
  <c r="G538" i="9"/>
  <c r="I538" i="9" s="1"/>
  <c r="K538" i="9" s="1"/>
  <c r="G539" i="9"/>
  <c r="I539" i="9" s="1"/>
  <c r="K539" i="9" s="1"/>
  <c r="M539" i="9" s="1"/>
  <c r="O539" i="9" s="1"/>
  <c r="Q539" i="9" s="1"/>
  <c r="G445" i="9"/>
  <c r="G444" i="9" s="1"/>
  <c r="G416" i="9"/>
  <c r="G373" i="9"/>
  <c r="I373" i="9" s="1"/>
  <c r="K373" i="9" s="1"/>
  <c r="M373" i="9" s="1"/>
  <c r="O373" i="9" s="1"/>
  <c r="Q373" i="9" s="1"/>
  <c r="G351" i="9"/>
  <c r="I351" i="9" s="1"/>
  <c r="K351" i="9" s="1"/>
  <c r="M351" i="9" s="1"/>
  <c r="O351" i="9" s="1"/>
  <c r="Q351" i="9" s="1"/>
  <c r="G264" i="9"/>
  <c r="I247" i="9"/>
  <c r="G243" i="9"/>
  <c r="I243" i="9" s="1"/>
  <c r="G241" i="9"/>
  <c r="I241" i="9" s="1"/>
  <c r="K241" i="9" s="1"/>
  <c r="M241" i="9" s="1"/>
  <c r="O241" i="9" s="1"/>
  <c r="Q241" i="9" s="1"/>
  <c r="G240" i="9"/>
  <c r="I240" i="9" s="1"/>
  <c r="K240" i="9" s="1"/>
  <c r="G223" i="9"/>
  <c r="I223" i="9" s="1"/>
  <c r="G186" i="9"/>
  <c r="G180" i="9"/>
  <c r="I180" i="9" s="1"/>
  <c r="K180" i="9" s="1"/>
  <c r="M180" i="9" s="1"/>
  <c r="O180" i="9" s="1"/>
  <c r="Q180" i="9" s="1"/>
  <c r="G179" i="9"/>
  <c r="I179" i="9" s="1"/>
  <c r="K179" i="9" s="1"/>
  <c r="M179" i="9" s="1"/>
  <c r="O179" i="9" s="1"/>
  <c r="Q179" i="9" s="1"/>
  <c r="G177" i="9"/>
  <c r="I177" i="9" s="1"/>
  <c r="G166" i="9"/>
  <c r="I166" i="9" s="1"/>
  <c r="K166" i="9" s="1"/>
  <c r="M166" i="9" s="1"/>
  <c r="O166" i="9" s="1"/>
  <c r="Q166" i="9" s="1"/>
  <c r="G163" i="9"/>
  <c r="I163" i="9" s="1"/>
  <c r="G56" i="9"/>
  <c r="G24" i="9"/>
  <c r="I24" i="9" s="1"/>
  <c r="K24" i="9" s="1"/>
  <c r="M24" i="9" s="1"/>
  <c r="O24" i="9" s="1"/>
  <c r="Q24" i="9" s="1"/>
  <c r="G23" i="9"/>
  <c r="I23" i="9" s="1"/>
  <c r="K23" i="9" s="1"/>
  <c r="M23" i="9" s="1"/>
  <c r="O23" i="9" s="1"/>
  <c r="Q23" i="9" s="1"/>
  <c r="G21" i="9"/>
  <c r="I21" i="9" s="1"/>
  <c r="G473" i="9"/>
  <c r="G471" i="9"/>
  <c r="G469" i="9"/>
  <c r="G437" i="9"/>
  <c r="G439" i="9"/>
  <c r="O43" i="9" l="1"/>
  <c r="E33" i="11" s="1"/>
  <c r="Q44" i="9"/>
  <c r="Q43" i="9" s="1"/>
  <c r="O146" i="9"/>
  <c r="E196" i="11" s="1"/>
  <c r="Q147" i="9"/>
  <c r="Q146" i="9" s="1"/>
  <c r="Q141" i="9" s="1"/>
  <c r="Q137" i="9" s="1"/>
  <c r="O61" i="9"/>
  <c r="O60" i="9" s="1"/>
  <c r="E46" i="11"/>
  <c r="O281" i="9"/>
  <c r="E159" i="11"/>
  <c r="O548" i="9"/>
  <c r="O547" i="9" s="1"/>
  <c r="O546" i="9" s="1"/>
  <c r="O545" i="9" s="1"/>
  <c r="Q549" i="9"/>
  <c r="Q548" i="9" s="1"/>
  <c r="Q547" i="9" s="1"/>
  <c r="Q546" i="9" s="1"/>
  <c r="Q545" i="9" s="1"/>
  <c r="Q255" i="9"/>
  <c r="O141" i="9"/>
  <c r="O137" i="9" s="1"/>
  <c r="M264" i="9"/>
  <c r="O266" i="9"/>
  <c r="M225" i="9"/>
  <c r="O226" i="9"/>
  <c r="M38" i="9"/>
  <c r="O39" i="9"/>
  <c r="M548" i="9"/>
  <c r="M547" i="9" s="1"/>
  <c r="M546" i="9" s="1"/>
  <c r="M545" i="9" s="1"/>
  <c r="M37" i="9"/>
  <c r="K239" i="9"/>
  <c r="M240" i="9"/>
  <c r="K537" i="9"/>
  <c r="K536" i="9" s="1"/>
  <c r="K535" i="9" s="1"/>
  <c r="K534" i="9" s="1"/>
  <c r="M538" i="9"/>
  <c r="I242" i="9"/>
  <c r="K243" i="9"/>
  <c r="I162" i="9"/>
  <c r="I161" i="9" s="1"/>
  <c r="I160" i="9" s="1"/>
  <c r="I159" i="9" s="1"/>
  <c r="K163" i="9"/>
  <c r="I176" i="9"/>
  <c r="I175" i="9" s="1"/>
  <c r="I174" i="9" s="1"/>
  <c r="K177" i="9"/>
  <c r="I222" i="9"/>
  <c r="I221" i="9" s="1"/>
  <c r="I216" i="9" s="1"/>
  <c r="I213" i="9" s="1"/>
  <c r="K223" i="9"/>
  <c r="I246" i="9"/>
  <c r="I245" i="9" s="1"/>
  <c r="K247" i="9"/>
  <c r="K548" i="9"/>
  <c r="K547" i="9" s="1"/>
  <c r="K546" i="9" s="1"/>
  <c r="K545" i="9" s="1"/>
  <c r="I20" i="9"/>
  <c r="I19" i="9" s="1"/>
  <c r="K21" i="9"/>
  <c r="I548" i="9"/>
  <c r="I547" i="9" s="1"/>
  <c r="I546" i="9" s="1"/>
  <c r="I545" i="9" s="1"/>
  <c r="I239" i="9"/>
  <c r="G242" i="9"/>
  <c r="I537" i="9"/>
  <c r="I536" i="9" s="1"/>
  <c r="I535" i="9" s="1"/>
  <c r="I534" i="9" s="1"/>
  <c r="G207" i="9"/>
  <c r="G448" i="9"/>
  <c r="G415" i="9"/>
  <c r="G443" i="9"/>
  <c r="G336" i="9"/>
  <c r="G271" i="9"/>
  <c r="G125" i="9"/>
  <c r="G411" i="9"/>
  <c r="G548" i="9"/>
  <c r="G547" i="9" s="1"/>
  <c r="G546" i="9" s="1"/>
  <c r="G545" i="9" s="1"/>
  <c r="G537" i="9"/>
  <c r="G536" i="9" s="1"/>
  <c r="G535" i="9" s="1"/>
  <c r="G534" i="9" s="1"/>
  <c r="G496" i="9"/>
  <c r="G353" i="9"/>
  <c r="I353" i="9" s="1"/>
  <c r="G354" i="9"/>
  <c r="I354" i="9" s="1"/>
  <c r="K354" i="9" s="1"/>
  <c r="M354" i="9" s="1"/>
  <c r="O354" i="9" s="1"/>
  <c r="Q354" i="9" s="1"/>
  <c r="G342" i="9"/>
  <c r="I342" i="9" s="1"/>
  <c r="G374" i="9"/>
  <c r="I374" i="9" s="1"/>
  <c r="G398" i="9"/>
  <c r="I398" i="9" s="1"/>
  <c r="K398" i="9" s="1"/>
  <c r="M398" i="9" s="1"/>
  <c r="O398" i="9" s="1"/>
  <c r="Q398" i="9" s="1"/>
  <c r="G397" i="9"/>
  <c r="I397" i="9" s="1"/>
  <c r="K397" i="9" s="1"/>
  <c r="M397" i="9" s="1"/>
  <c r="O397" i="9" s="1"/>
  <c r="Q397" i="9" s="1"/>
  <c r="G396" i="9"/>
  <c r="I396" i="9" s="1"/>
  <c r="K396" i="9" s="1"/>
  <c r="G386" i="9"/>
  <c r="I386" i="9" s="1"/>
  <c r="K386" i="9" s="1"/>
  <c r="M386" i="9" s="1"/>
  <c r="O386" i="9" s="1"/>
  <c r="Q386" i="9" s="1"/>
  <c r="G385" i="9"/>
  <c r="I385" i="9" s="1"/>
  <c r="K385" i="9" s="1"/>
  <c r="M385" i="9" s="1"/>
  <c r="O385" i="9" s="1"/>
  <c r="Q385" i="9" s="1"/>
  <c r="G384" i="9"/>
  <c r="I384" i="9" s="1"/>
  <c r="G423" i="9"/>
  <c r="I423" i="9" s="1"/>
  <c r="K423" i="9" s="1"/>
  <c r="M423" i="9" s="1"/>
  <c r="O423" i="9" s="1"/>
  <c r="Q423" i="9" s="1"/>
  <c r="G427" i="9"/>
  <c r="I427" i="9" s="1"/>
  <c r="K427" i="9" s="1"/>
  <c r="M427" i="9" s="1"/>
  <c r="O427" i="9" s="1"/>
  <c r="Q427" i="9" s="1"/>
  <c r="G426" i="9"/>
  <c r="I426" i="9" s="1"/>
  <c r="K426" i="9" s="1"/>
  <c r="M426" i="9" s="1"/>
  <c r="O426" i="9" s="1"/>
  <c r="Q426" i="9" s="1"/>
  <c r="G425" i="9"/>
  <c r="I425" i="9" s="1"/>
  <c r="K425" i="9" s="1"/>
  <c r="M425" i="9" s="1"/>
  <c r="O425" i="9" s="1"/>
  <c r="Q425" i="9" s="1"/>
  <c r="G297" i="9"/>
  <c r="G176" i="9"/>
  <c r="G162" i="9"/>
  <c r="G120" i="9"/>
  <c r="G62" i="9"/>
  <c r="G43" i="9"/>
  <c r="G35" i="9"/>
  <c r="G33" i="9"/>
  <c r="G31" i="9"/>
  <c r="G27" i="9"/>
  <c r="G20" i="9"/>
  <c r="O38" i="9" l="1"/>
  <c r="Q39" i="9"/>
  <c r="Q38" i="9" s="1"/>
  <c r="Q37" i="9" s="1"/>
  <c r="O225" i="9"/>
  <c r="Q226" i="9"/>
  <c r="Q225" i="9" s="1"/>
  <c r="O264" i="9"/>
  <c r="E145" i="11" s="1"/>
  <c r="Q266" i="9"/>
  <c r="Q264" i="9" s="1"/>
  <c r="Q422" i="9"/>
  <c r="Q421" i="9" s="1"/>
  <c r="Q420" i="9" s="1"/>
  <c r="M537" i="9"/>
  <c r="M536" i="9" s="1"/>
  <c r="M535" i="9" s="1"/>
  <c r="M534" i="9" s="1"/>
  <c r="O538" i="9"/>
  <c r="M239" i="9"/>
  <c r="O240" i="9"/>
  <c r="O422" i="9"/>
  <c r="K395" i="9"/>
  <c r="K394" i="9" s="1"/>
  <c r="K393" i="9" s="1"/>
  <c r="K392" i="9" s="1"/>
  <c r="K391" i="9" s="1"/>
  <c r="M396" i="9"/>
  <c r="K20" i="9"/>
  <c r="K19" i="9" s="1"/>
  <c r="K18" i="9" s="1"/>
  <c r="K17" i="9" s="1"/>
  <c r="K16" i="9" s="1"/>
  <c r="M21" i="9"/>
  <c r="K242" i="9"/>
  <c r="K238" i="9" s="1"/>
  <c r="M243" i="9"/>
  <c r="M422" i="9"/>
  <c r="K246" i="9"/>
  <c r="K245" i="9" s="1"/>
  <c r="M247" i="9"/>
  <c r="K222" i="9"/>
  <c r="K221" i="9" s="1"/>
  <c r="K216" i="9" s="1"/>
  <c r="K213" i="9" s="1"/>
  <c r="M223" i="9"/>
  <c r="K176" i="9"/>
  <c r="K175" i="9" s="1"/>
  <c r="K174" i="9" s="1"/>
  <c r="M177" i="9"/>
  <c r="K162" i="9"/>
  <c r="M163" i="9"/>
  <c r="I238" i="9"/>
  <c r="I237" i="9" s="1"/>
  <c r="I212" i="9" s="1"/>
  <c r="I383" i="9"/>
  <c r="I380" i="9" s="1"/>
  <c r="I379" i="9" s="1"/>
  <c r="I378" i="9" s="1"/>
  <c r="I377" i="9" s="1"/>
  <c r="K384" i="9"/>
  <c r="I371" i="9"/>
  <c r="I370" i="9" s="1"/>
  <c r="I369" i="9" s="1"/>
  <c r="I368" i="9" s="1"/>
  <c r="K374" i="9"/>
  <c r="K161" i="9"/>
  <c r="K160" i="9" s="1"/>
  <c r="K159" i="9" s="1"/>
  <c r="I341" i="9"/>
  <c r="I338" i="9" s="1"/>
  <c r="K342" i="9"/>
  <c r="I350" i="9"/>
  <c r="I349" i="9" s="1"/>
  <c r="K353" i="9"/>
  <c r="K422" i="9"/>
  <c r="I18" i="9"/>
  <c r="I17" i="9" s="1"/>
  <c r="I16" i="9" s="1"/>
  <c r="I422" i="9"/>
  <c r="I421" i="9" s="1"/>
  <c r="I420" i="9" s="1"/>
  <c r="I402" i="9" s="1"/>
  <c r="I401" i="9" s="1"/>
  <c r="I395" i="9"/>
  <c r="I394" i="9" s="1"/>
  <c r="I393" i="9" s="1"/>
  <c r="I392" i="9" s="1"/>
  <c r="I391" i="9" s="1"/>
  <c r="E26" i="11"/>
  <c r="G296" i="9"/>
  <c r="G335" i="9"/>
  <c r="E180" i="11"/>
  <c r="G175" i="9"/>
  <c r="G371" i="9"/>
  <c r="G370" i="9" s="1"/>
  <c r="G395" i="9"/>
  <c r="G383" i="9"/>
  <c r="G30" i="9"/>
  <c r="Q402" i="9" l="1"/>
  <c r="Q401" i="9" s="1"/>
  <c r="I334" i="9"/>
  <c r="I321" i="9" s="1"/>
  <c r="O239" i="9"/>
  <c r="Q240" i="9"/>
  <c r="Q239" i="9" s="1"/>
  <c r="O537" i="9"/>
  <c r="O536" i="9" s="1"/>
  <c r="O535" i="9" s="1"/>
  <c r="O534" i="9" s="1"/>
  <c r="Q538" i="9"/>
  <c r="Q537" i="9" s="1"/>
  <c r="Q536" i="9" s="1"/>
  <c r="Q535" i="9" s="1"/>
  <c r="Q534" i="9" s="1"/>
  <c r="O37" i="9"/>
  <c r="E32" i="11"/>
  <c r="E31" i="11" s="1"/>
  <c r="O421" i="9"/>
  <c r="O420" i="9" s="1"/>
  <c r="O402" i="9" s="1"/>
  <c r="O401" i="9" s="1"/>
  <c r="E71" i="11"/>
  <c r="M242" i="9"/>
  <c r="M238" i="9" s="1"/>
  <c r="O243" i="9"/>
  <c r="M20" i="9"/>
  <c r="M19" i="9" s="1"/>
  <c r="M18" i="9" s="1"/>
  <c r="M17" i="9" s="1"/>
  <c r="M16" i="9" s="1"/>
  <c r="O21" i="9"/>
  <c r="M395" i="9"/>
  <c r="O396" i="9"/>
  <c r="K237" i="9"/>
  <c r="K212" i="9" s="1"/>
  <c r="M162" i="9"/>
  <c r="O163" i="9"/>
  <c r="M176" i="9"/>
  <c r="O177" i="9"/>
  <c r="M222" i="9"/>
  <c r="M221" i="9" s="1"/>
  <c r="O223" i="9"/>
  <c r="M246" i="9"/>
  <c r="M245" i="9" s="1"/>
  <c r="O247" i="9"/>
  <c r="M161" i="9"/>
  <c r="M160" i="9" s="1"/>
  <c r="M159" i="9" s="1"/>
  <c r="M175" i="9"/>
  <c r="M174" i="9" s="1"/>
  <c r="M216" i="9"/>
  <c r="M213" i="9" s="1"/>
  <c r="M421" i="9"/>
  <c r="M394" i="9"/>
  <c r="M393" i="9" s="1"/>
  <c r="M392" i="9" s="1"/>
  <c r="M391" i="9" s="1"/>
  <c r="K350" i="9"/>
  <c r="K349" i="9" s="1"/>
  <c r="M353" i="9"/>
  <c r="K341" i="9"/>
  <c r="K338" i="9" s="1"/>
  <c r="M342" i="9"/>
  <c r="K371" i="9"/>
  <c r="K370" i="9" s="1"/>
  <c r="K369" i="9" s="1"/>
  <c r="K368" i="9" s="1"/>
  <c r="M374" i="9"/>
  <c r="K383" i="9"/>
  <c r="K380" i="9" s="1"/>
  <c r="K379" i="9" s="1"/>
  <c r="K378" i="9" s="1"/>
  <c r="K377" i="9" s="1"/>
  <c r="M384" i="9"/>
  <c r="K421" i="9"/>
  <c r="K420" i="9" s="1"/>
  <c r="K402" i="9" s="1"/>
  <c r="K401" i="9" s="1"/>
  <c r="G294" i="9"/>
  <c r="O246" i="9" l="1"/>
  <c r="O245" i="9" s="1"/>
  <c r="E135" i="11" s="1"/>
  <c r="Q247" i="9"/>
  <c r="Q246" i="9" s="1"/>
  <c r="Q245" i="9" s="1"/>
  <c r="O222" i="9"/>
  <c r="O221" i="9" s="1"/>
  <c r="Q223" i="9"/>
  <c r="Q222" i="9" s="1"/>
  <c r="Q221" i="9" s="1"/>
  <c r="Q216" i="9" s="1"/>
  <c r="Q213" i="9" s="1"/>
  <c r="O176" i="9"/>
  <c r="Q177" i="9"/>
  <c r="Q176" i="9" s="1"/>
  <c r="Q175" i="9" s="1"/>
  <c r="Q174" i="9" s="1"/>
  <c r="O162" i="9"/>
  <c r="Q163" i="9"/>
  <c r="Q162" i="9" s="1"/>
  <c r="Q161" i="9" s="1"/>
  <c r="Q160" i="9" s="1"/>
  <c r="Q159" i="9" s="1"/>
  <c r="O395" i="9"/>
  <c r="Q396" i="9"/>
  <c r="Q395" i="9" s="1"/>
  <c r="Q394" i="9" s="1"/>
  <c r="Q393" i="9" s="1"/>
  <c r="Q392" i="9" s="1"/>
  <c r="Q391" i="9" s="1"/>
  <c r="O20" i="9"/>
  <c r="O19" i="9" s="1"/>
  <c r="Q21" i="9"/>
  <c r="Q20" i="9" s="1"/>
  <c r="Q19" i="9" s="1"/>
  <c r="Q18" i="9" s="1"/>
  <c r="Q17" i="9" s="1"/>
  <c r="Q16" i="9" s="1"/>
  <c r="O242" i="9"/>
  <c r="O238" i="9" s="1"/>
  <c r="Q243" i="9"/>
  <c r="Q242" i="9" s="1"/>
  <c r="Q238" i="9" s="1"/>
  <c r="Q237" i="9" s="1"/>
  <c r="M237" i="9"/>
  <c r="M212" i="9" s="1"/>
  <c r="M383" i="9"/>
  <c r="M380" i="9" s="1"/>
  <c r="M379" i="9" s="1"/>
  <c r="M378" i="9" s="1"/>
  <c r="M377" i="9" s="1"/>
  <c r="O384" i="9"/>
  <c r="M371" i="9"/>
  <c r="M370" i="9" s="1"/>
  <c r="M369" i="9" s="1"/>
  <c r="M368" i="9" s="1"/>
  <c r="O374" i="9"/>
  <c r="M341" i="9"/>
  <c r="O342" i="9"/>
  <c r="M350" i="9"/>
  <c r="M349" i="9" s="1"/>
  <c r="O353" i="9"/>
  <c r="M420" i="9"/>
  <c r="M402" i="9" s="1"/>
  <c r="M401" i="9" s="1"/>
  <c r="K334" i="9"/>
  <c r="K321" i="9" s="1"/>
  <c r="G293" i="9"/>
  <c r="G292" i="9" s="1"/>
  <c r="E148" i="11"/>
  <c r="E147" i="11" s="1"/>
  <c r="G217" i="9"/>
  <c r="G361" i="9"/>
  <c r="G356" i="9"/>
  <c r="G284" i="9"/>
  <c r="G146" i="9"/>
  <c r="E223" i="11"/>
  <c r="E221" i="11"/>
  <c r="E14" i="11"/>
  <c r="G495" i="9"/>
  <c r="G494" i="9" s="1"/>
  <c r="G493" i="9" s="1"/>
  <c r="G127" i="9"/>
  <c r="G129" i="9"/>
  <c r="G290" i="9"/>
  <c r="G288" i="9"/>
  <c r="G225" i="9"/>
  <c r="G222" i="9"/>
  <c r="G221" i="9" s="1"/>
  <c r="G190" i="9"/>
  <c r="G484" i="9"/>
  <c r="G479" i="9" s="1"/>
  <c r="G435" i="9"/>
  <c r="G431" i="9"/>
  <c r="G366" i="9"/>
  <c r="E132" i="11" l="1"/>
  <c r="E131" i="11" s="1"/>
  <c r="O237" i="9"/>
  <c r="O350" i="9"/>
  <c r="Q353" i="9"/>
  <c r="Q350" i="9" s="1"/>
  <c r="Q349" i="9" s="1"/>
  <c r="O341" i="9"/>
  <c r="Q342" i="9"/>
  <c r="Q341" i="9" s="1"/>
  <c r="Q338" i="9" s="1"/>
  <c r="Q334" i="9" s="1"/>
  <c r="Q321" i="9" s="1"/>
  <c r="O371" i="9"/>
  <c r="Q374" i="9"/>
  <c r="Q371" i="9" s="1"/>
  <c r="Q370" i="9" s="1"/>
  <c r="Q369" i="9" s="1"/>
  <c r="Q368" i="9" s="1"/>
  <c r="O383" i="9"/>
  <c r="O380" i="9" s="1"/>
  <c r="Q384" i="9"/>
  <c r="Q383" i="9" s="1"/>
  <c r="Q380" i="9" s="1"/>
  <c r="Q379" i="9" s="1"/>
  <c r="Q378" i="9" s="1"/>
  <c r="Q377" i="9" s="1"/>
  <c r="O18" i="9"/>
  <c r="O17" i="9" s="1"/>
  <c r="O16" i="9" s="1"/>
  <c r="E20" i="11"/>
  <c r="O394" i="9"/>
  <c r="O393" i="9" s="1"/>
  <c r="O392" i="9" s="1"/>
  <c r="O391" i="9" s="1"/>
  <c r="E169" i="11"/>
  <c r="O161" i="9"/>
  <c r="O160" i="9" s="1"/>
  <c r="O159" i="9" s="1"/>
  <c r="E17" i="11"/>
  <c r="O175" i="9"/>
  <c r="O174" i="9" s="1"/>
  <c r="E23" i="11"/>
  <c r="E22" i="11" s="1"/>
  <c r="O216" i="9"/>
  <c r="O213" i="9" s="1"/>
  <c r="E123" i="11"/>
  <c r="E119" i="11" s="1"/>
  <c r="O212" i="9"/>
  <c r="Q212" i="9"/>
  <c r="M338" i="9"/>
  <c r="M334" i="9" s="1"/>
  <c r="M321" i="9" s="1"/>
  <c r="G430" i="9"/>
  <c r="E38" i="11"/>
  <c r="G409" i="9"/>
  <c r="G189" i="9"/>
  <c r="G188" i="9" s="1"/>
  <c r="G478" i="9"/>
  <c r="G216" i="9"/>
  <c r="G213" i="9" s="1"/>
  <c r="G380" i="9"/>
  <c r="G369" i="9"/>
  <c r="G368" i="9" s="1"/>
  <c r="G422" i="9"/>
  <c r="G528" i="9"/>
  <c r="E183" i="11"/>
  <c r="E182" i="11" s="1"/>
  <c r="G281" i="9"/>
  <c r="G287" i="9"/>
  <c r="G286" i="9" s="1"/>
  <c r="G324" i="9"/>
  <c r="O379" i="9" l="1"/>
  <c r="O378" i="9" s="1"/>
  <c r="O377" i="9" s="1"/>
  <c r="E170" i="11"/>
  <c r="O370" i="9"/>
  <c r="O369" i="9" s="1"/>
  <c r="O368" i="9" s="1"/>
  <c r="E34" i="11"/>
  <c r="O338" i="9"/>
  <c r="E187" i="11"/>
  <c r="O349" i="9"/>
  <c r="O334" i="9" s="1"/>
  <c r="O321" i="9" s="1"/>
  <c r="E199" i="11"/>
  <c r="G421" i="9"/>
  <c r="G420" i="9" s="1"/>
  <c r="E70" i="11"/>
  <c r="E69" i="11" s="1"/>
  <c r="G394" i="9"/>
  <c r="G393" i="9" s="1"/>
  <c r="G392" i="9" s="1"/>
  <c r="G391" i="9" s="1"/>
  <c r="G527" i="9"/>
  <c r="G508" i="9" s="1"/>
  <c r="G503" i="9" s="1"/>
  <c r="G379" i="9"/>
  <c r="G378" i="9" s="1"/>
  <c r="G377" i="9" s="1"/>
  <c r="G323" i="9"/>
  <c r="G322" i="9" s="1"/>
  <c r="E53" i="11"/>
  <c r="G330" i="9"/>
  <c r="G347" i="9"/>
  <c r="G343" i="9"/>
  <c r="G341" i="9"/>
  <c r="G316" i="9"/>
  <c r="G312" i="9"/>
  <c r="G307" i="9"/>
  <c r="G302" i="9"/>
  <c r="G184" i="9"/>
  <c r="G275" i="9"/>
  <c r="G274" i="9" s="1"/>
  <c r="G270" i="9"/>
  <c r="G246" i="9"/>
  <c r="G245" i="9" s="1"/>
  <c r="G259" i="9"/>
  <c r="G256" i="9"/>
  <c r="G239" i="9"/>
  <c r="G203" i="9"/>
  <c r="G154" i="9"/>
  <c r="G150" i="9"/>
  <c r="G139" i="9"/>
  <c r="G135" i="9"/>
  <c r="G123" i="9"/>
  <c r="G122" i="9" s="1"/>
  <c r="G118" i="9"/>
  <c r="G110" i="9"/>
  <c r="G77" i="9"/>
  <c r="G71" i="9"/>
  <c r="G54" i="9"/>
  <c r="G52" i="9"/>
  <c r="E52" i="11" l="1"/>
  <c r="E47" i="11"/>
  <c r="G68" i="9"/>
  <c r="G315" i="9"/>
  <c r="G301" i="9"/>
  <c r="I302" i="9"/>
  <c r="E115" i="11"/>
  <c r="E168" i="11"/>
  <c r="G37" i="9"/>
  <c r="G174" i="9"/>
  <c r="G402" i="9"/>
  <c r="G401" i="9" s="1"/>
  <c r="E188" i="11"/>
  <c r="E185" i="11" s="1"/>
  <c r="G202" i="9"/>
  <c r="G197" i="9" s="1"/>
  <c r="E40" i="11"/>
  <c r="E30" i="11" s="1"/>
  <c r="G167" i="9"/>
  <c r="G350" i="9"/>
  <c r="E198" i="11" s="1"/>
  <c r="G153" i="9"/>
  <c r="G152" i="9" s="1"/>
  <c r="E205" i="11"/>
  <c r="G300" i="9"/>
  <c r="G299" i="9" s="1"/>
  <c r="G306" i="9"/>
  <c r="G305" i="9" s="1"/>
  <c r="E212" i="11"/>
  <c r="E211" i="11" s="1"/>
  <c r="G314" i="9"/>
  <c r="E219" i="11"/>
  <c r="E218" i="11" s="1"/>
  <c r="G311" i="9"/>
  <c r="G310" i="9" s="1"/>
  <c r="E215" i="11"/>
  <c r="E214" i="11" s="1"/>
  <c r="G141" i="9"/>
  <c r="E194" i="11"/>
  <c r="E192" i="11" s="1"/>
  <c r="G138" i="9"/>
  <c r="G327" i="9"/>
  <c r="G326" i="9" s="1"/>
  <c r="E176" i="11"/>
  <c r="E175" i="11" s="1"/>
  <c r="E174" i="11" s="1"/>
  <c r="G134" i="9"/>
  <c r="G133" i="9" s="1"/>
  <c r="E171" i="11"/>
  <c r="G67" i="9"/>
  <c r="G109" i="9"/>
  <c r="G90" i="9" s="1"/>
  <c r="G76" i="9"/>
  <c r="G75" i="9" s="1"/>
  <c r="G117" i="9"/>
  <c r="G113" i="9" s="1"/>
  <c r="E151" i="11"/>
  <c r="E150" i="11" s="1"/>
  <c r="E25" i="11"/>
  <c r="E24" i="11" s="1"/>
  <c r="G255" i="9"/>
  <c r="G238" i="9"/>
  <c r="G338" i="9"/>
  <c r="E167" i="11" l="1"/>
  <c r="E217" i="11"/>
  <c r="E210" i="11"/>
  <c r="E179" i="11"/>
  <c r="I301" i="9"/>
  <c r="I300" i="9" s="1"/>
  <c r="I299" i="9" s="1"/>
  <c r="I173" i="9" s="1"/>
  <c r="I554" i="9" s="1"/>
  <c r="K302" i="9"/>
  <c r="G237" i="9"/>
  <c r="G212" i="9" s="1"/>
  <c r="G173" i="9" s="1"/>
  <c r="E160" i="11"/>
  <c r="E157" i="11" s="1"/>
  <c r="G137" i="9"/>
  <c r="E82" i="11"/>
  <c r="E134" i="11"/>
  <c r="E130" i="11" s="1"/>
  <c r="G19" i="9"/>
  <c r="G349" i="9"/>
  <c r="G334" i="9" s="1"/>
  <c r="E16" i="11"/>
  <c r="G61" i="9"/>
  <c r="G60" i="9" s="1"/>
  <c r="E45" i="11"/>
  <c r="G161" i="9"/>
  <c r="G160" i="9" s="1"/>
  <c r="G159" i="9" s="1"/>
  <c r="E44" i="11" l="1"/>
  <c r="E166" i="11"/>
  <c r="K301" i="9"/>
  <c r="M302" i="9"/>
  <c r="K300" i="9"/>
  <c r="K299" i="9" s="1"/>
  <c r="K173" i="9" s="1"/>
  <c r="K554" i="9" s="1"/>
  <c r="E118" i="11"/>
  <c r="G321" i="9"/>
  <c r="G18" i="9"/>
  <c r="G17" i="9" s="1"/>
  <c r="E19" i="11"/>
  <c r="M301" i="9" l="1"/>
  <c r="O302" i="9"/>
  <c r="M300" i="9"/>
  <c r="M299" i="9" s="1"/>
  <c r="M173" i="9" s="1"/>
  <c r="M554" i="9" s="1"/>
  <c r="E13" i="11"/>
  <c r="G16" i="9"/>
  <c r="G554" i="9" s="1"/>
  <c r="O301" i="9" l="1"/>
  <c r="Q302" i="9"/>
  <c r="Q301" i="9" s="1"/>
  <c r="Q300" i="9" s="1"/>
  <c r="Q299" i="9" s="1"/>
  <c r="Q173" i="9" s="1"/>
  <c r="Q554" i="9" s="1"/>
  <c r="O300" i="9" l="1"/>
  <c r="O299" i="9" s="1"/>
  <c r="O173" i="9" s="1"/>
  <c r="O554" i="9" s="1"/>
  <c r="E207" i="11"/>
  <c r="E204" i="11" s="1"/>
  <c r="E203" i="11" s="1"/>
  <c r="E225" i="11" s="1"/>
  <c r="E226" i="11" l="1"/>
</calcChain>
</file>

<file path=xl/comments1.xml><?xml version="1.0" encoding="utf-8"?>
<comments xmlns="http://schemas.openxmlformats.org/spreadsheetml/2006/main">
  <authors>
    <author>Автор</author>
  </authors>
  <commentList>
    <comment ref="G34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130тыс. Руб. РММХ</t>
        </r>
      </text>
    </comment>
  </commentList>
</comments>
</file>

<file path=xl/sharedStrings.xml><?xml version="1.0" encoding="utf-8"?>
<sst xmlns="http://schemas.openxmlformats.org/spreadsheetml/2006/main" count="3127" uniqueCount="640">
  <si>
    <t xml:space="preserve">к решению районного Совета </t>
  </si>
  <si>
    <t>(тыс.руб.)</t>
  </si>
  <si>
    <t>Сумма</t>
  </si>
  <si>
    <t>Осуществление первичного воинского учета на территориях, где отсутствуют военные комиссариаты</t>
  </si>
  <si>
    <t>Наименование</t>
  </si>
  <si>
    <t>356</t>
  </si>
  <si>
    <t>377</t>
  </si>
  <si>
    <t>357</t>
  </si>
  <si>
    <t>370</t>
  </si>
  <si>
    <t>Мин</t>
  </si>
  <si>
    <t>Рз</t>
  </si>
  <si>
    <t>Пр</t>
  </si>
  <si>
    <t>ЦСР</t>
  </si>
  <si>
    <t>ВР</t>
  </si>
  <si>
    <t>ОБЩЕГОСУДАРСТВЕННЫЕ РАСХОДЫ</t>
  </si>
  <si>
    <t>01</t>
  </si>
  <si>
    <t>00</t>
  </si>
  <si>
    <t>02</t>
  </si>
  <si>
    <t>Глава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</si>
  <si>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</si>
  <si>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</si>
  <si>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0020000</t>
  </si>
  <si>
    <t>Центральный аппарат</t>
  </si>
  <si>
    <t>0020400</t>
  </si>
  <si>
    <t>04</t>
  </si>
  <si>
    <t>0020402</t>
  </si>
  <si>
    <t>Резервные фонды</t>
  </si>
  <si>
    <t>12</t>
  </si>
  <si>
    <t>070 05 00</t>
  </si>
  <si>
    <t>Другие общегосударственные вопросы</t>
  </si>
  <si>
    <t>14</t>
  </si>
  <si>
    <t>Руководство и управление в сфере установленных функций</t>
  </si>
  <si>
    <t xml:space="preserve">Государственная регистрация актов гражданского состояния </t>
  </si>
  <si>
    <t>001 38 01</t>
  </si>
  <si>
    <t>Оценка недвижимости, признание прав и регулирование отношений по государственной и муниципальной собственности</t>
  </si>
  <si>
    <t>090 02 00</t>
  </si>
  <si>
    <t>Реализация государственных функций, связанных с общегосударственным управлением</t>
  </si>
  <si>
    <t>092 00 00</t>
  </si>
  <si>
    <t>Целевые программы муниципальных образований</t>
  </si>
  <si>
    <t>795 00 00</t>
  </si>
  <si>
    <t xml:space="preserve">01 </t>
  </si>
  <si>
    <t>001 36 01</t>
  </si>
  <si>
    <t>НАЦИОНАЛЬНАЯ ЭКОНОМИКА</t>
  </si>
  <si>
    <t>08</t>
  </si>
  <si>
    <t xml:space="preserve">08 </t>
  </si>
  <si>
    <t>ЖИЛИЩНО-КОММУНАЛЬНОЕ ХОЗЯЙСТВО</t>
  </si>
  <si>
    <t>05</t>
  </si>
  <si>
    <t>Коммунальное хозяйство</t>
  </si>
  <si>
    <t>Благоустройство</t>
  </si>
  <si>
    <t>Прочие мероприятия по благоустройству городских округов и поселений</t>
  </si>
  <si>
    <t>600 05 00</t>
  </si>
  <si>
    <t>Другие вопросы в области жилищно-коммунального хозяйства</t>
  </si>
  <si>
    <t>Обеспечение деятельности подведомственных учреждений</t>
  </si>
  <si>
    <t>002 99 00</t>
  </si>
  <si>
    <t>002 99 01</t>
  </si>
  <si>
    <t>ОБРАЗОВАНИЕ</t>
  </si>
  <si>
    <t>07</t>
  </si>
  <si>
    <t>Дошкольное образование</t>
  </si>
  <si>
    <t>420 99 00</t>
  </si>
  <si>
    <t>Молодежная политика и оздоровление детей</t>
  </si>
  <si>
    <t>Проведение мероприятий для детей и молодежи</t>
  </si>
  <si>
    <t>431 01 00</t>
  </si>
  <si>
    <t>Другие вопросы в области образования</t>
  </si>
  <si>
    <t>09</t>
  </si>
  <si>
    <t>436 09 00</t>
  </si>
  <si>
    <t>450 85 00</t>
  </si>
  <si>
    <t>512 97 00</t>
  </si>
  <si>
    <t>СОЦИАЛЬНАЯ ПОЛИТИКА</t>
  </si>
  <si>
    <t>10</t>
  </si>
  <si>
    <t>Социальное обеспечение населения</t>
  </si>
  <si>
    <t>505 86 00</t>
  </si>
  <si>
    <t>Реализация государственных функций в области социальной политики</t>
  </si>
  <si>
    <t>Мероприятия в области социальной политики</t>
  </si>
  <si>
    <t>514 01 00</t>
  </si>
  <si>
    <t>Охрана семьи и детства</t>
  </si>
  <si>
    <t>440 99 00</t>
  </si>
  <si>
    <t>Профессиональная подготовка, переподготовка и повышение квалификации</t>
  </si>
  <si>
    <t>Переподготовка и повышение квалификации кадров</t>
  </si>
  <si>
    <t>429 78 00</t>
  </si>
  <si>
    <t>Иные безвозмездные и безвозвратные перечисления</t>
  </si>
  <si>
    <t>Общее образование</t>
  </si>
  <si>
    <t>Учреждения по внешкольной работе с детьми</t>
  </si>
  <si>
    <t>423 00 00</t>
  </si>
  <si>
    <t>423 99 00</t>
  </si>
  <si>
    <t>432 00 00</t>
  </si>
  <si>
    <t xml:space="preserve">Оздоровление детей </t>
  </si>
  <si>
    <t>432 02 00</t>
  </si>
  <si>
    <t>372</t>
  </si>
  <si>
    <t>Дворцы и дома культуры, другие учреждения культуры и средств массовой информации</t>
  </si>
  <si>
    <t>440 00 00</t>
  </si>
  <si>
    <t>Социальное обслуживание населения</t>
  </si>
  <si>
    <t>Учреждения социального обслуживания населения</t>
  </si>
  <si>
    <t>508 00 00</t>
  </si>
  <si>
    <t>508 99 02</t>
  </si>
  <si>
    <t>520 00 00</t>
  </si>
  <si>
    <t>Защита населения и территории от чрезвычайных ситуаций природного и техногенного характера, гражданская оборона</t>
  </si>
  <si>
    <t>Поисковые и аварийно-спасательные учреждения</t>
  </si>
  <si>
    <t>302 99 00</t>
  </si>
  <si>
    <t>06</t>
  </si>
  <si>
    <t>Организация и содержание мест захоронения</t>
  </si>
  <si>
    <t>600 04 00</t>
  </si>
  <si>
    <t>010</t>
  </si>
  <si>
    <t>Оказание других видов социальной помощи</t>
  </si>
  <si>
    <t>Другие вопросы в области социальной политики</t>
  </si>
  <si>
    <t>002 04 00</t>
  </si>
  <si>
    <t>Физкультурно-оздоровительная работа и спортивные мероприятия</t>
  </si>
  <si>
    <t>512 00 00</t>
  </si>
  <si>
    <t>11</t>
  </si>
  <si>
    <t>065 00 00</t>
  </si>
  <si>
    <t>Процентные платежи по муниципальному долгу</t>
  </si>
  <si>
    <t>Периодические издания,  учрежденные органами  законодательной и исполнительной власти</t>
  </si>
  <si>
    <t>Государственная поддержка в сфере культуры, кинематографии и средств массовой информации</t>
  </si>
  <si>
    <t xml:space="preserve">Выравнивание бюджетной обеспеченности поселений из районного фонда финансовой поддержки </t>
  </si>
  <si>
    <t>Иные межбюджетные трансферты</t>
  </si>
  <si>
    <t>520 10 02</t>
  </si>
  <si>
    <t>371</t>
  </si>
  <si>
    <t>Библиотеки</t>
  </si>
  <si>
    <t>442 99 00</t>
  </si>
  <si>
    <t>Школы-детские сады, школы начальные, неполные средние и средние</t>
  </si>
  <si>
    <t>421 99 00</t>
  </si>
  <si>
    <t>Обеспечение деятельности подведомственных учреждений за счет средств областного бюджета (обеспечение гос.гарантий прав граждан на получение общедоступного и бесплатного дошкольного, начального общего, основного общего и среднего (полного) общего  образования в образовательных учреждениях)</t>
  </si>
  <si>
    <t>Ежемесячное денежное вознаграждение за классное руководство за счет средств федерального бюджета</t>
  </si>
  <si>
    <t>520 09 00</t>
  </si>
  <si>
    <t>Учебные заведения и курсы по переподготовке кадров</t>
  </si>
  <si>
    <t>429 00 00</t>
  </si>
  <si>
    <t>депутатов Светлогорского района</t>
  </si>
  <si>
    <t xml:space="preserve"> (тыс. руб.)</t>
  </si>
  <si>
    <t>Наименование кода</t>
  </si>
  <si>
    <t>РЗ</t>
  </si>
  <si>
    <t>ОБЩЕГОСУДАРСТВЕННЫЕ ВОПРОСЫ</t>
  </si>
  <si>
    <t>000 00 00</t>
  </si>
  <si>
    <t>Функционирование высшего должностного лица субъекта Российской Федерации и муниципального образования</t>
  </si>
  <si>
    <t>002 03 00</t>
  </si>
  <si>
    <t>Депутаты (члены) законодательного (представительного) органа государственной власти субъекта Российской Федерации</t>
  </si>
  <si>
    <t>002 10 00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</si>
  <si>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</si>
  <si>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070 00 00</t>
  </si>
  <si>
    <t>Резервные фонды исполнительных органов государственной власти субъектов Российской Федерации</t>
  </si>
  <si>
    <t>Фонд непредвиденных расходов</t>
  </si>
  <si>
    <t>Резервный фонд по предупреждению и ликвидации последствий чрезвычайных ситуаций и стихийных бедствий</t>
  </si>
  <si>
    <t>НАЦИОНАЛЬНАЯ ОБОРОНА</t>
  </si>
  <si>
    <t>НАЦИОНАЛЬНАЯ БЕЗОПАСНОСТЬ И ПРАВООХРАНИТЕЛЬНАЯ ДЕЯТЕЛЬНОСТЬ</t>
  </si>
  <si>
    <t>Обеспечение деятельности ЕДДС</t>
  </si>
  <si>
    <t>Организационно-воспитательная работа с молодежью</t>
  </si>
  <si>
    <t>431 00 00</t>
  </si>
  <si>
    <t>Мероприятия по проведению оздоровительной кампании детей</t>
  </si>
  <si>
    <t>Мероприятия в области образования</t>
  </si>
  <si>
    <t>436 00 00</t>
  </si>
  <si>
    <t>Культура</t>
  </si>
  <si>
    <t>Мероприятия в сфере культуры, кинематографии и средств массовой информации</t>
  </si>
  <si>
    <t>450 00 00</t>
  </si>
  <si>
    <t>Обеспечение деятельности Централизованной библиотечной системы</t>
  </si>
  <si>
    <t>Периодическая печать и издательства</t>
  </si>
  <si>
    <t>514  00 00</t>
  </si>
  <si>
    <t>Выравнивание бюджетной обеспеченности</t>
  </si>
  <si>
    <t>516 00 00</t>
  </si>
  <si>
    <t>516 01 30</t>
  </si>
  <si>
    <t>ВСЕГО РАСХОДОВ</t>
  </si>
  <si>
    <t>Глава местной администрации (исполнительно-распорядительного органа муниципального образования)</t>
  </si>
  <si>
    <t>0020800</t>
  </si>
  <si>
    <t>070 05 01</t>
  </si>
  <si>
    <t>070 05 02</t>
  </si>
  <si>
    <t>Мероприятия по МОБ работе</t>
  </si>
  <si>
    <t>070 05 03</t>
  </si>
  <si>
    <t>Программа "Развитие информационных систем обеспечения градостроительной деятельности на 2009-2010гг."</t>
  </si>
  <si>
    <t>795 00 31</t>
  </si>
  <si>
    <t>Другие вопросы в области национальной экономики</t>
  </si>
  <si>
    <t>795 00 11</t>
  </si>
  <si>
    <t>795 00 12</t>
  </si>
  <si>
    <t>440 99 01</t>
  </si>
  <si>
    <t>795 00 21</t>
  </si>
  <si>
    <t>Премирование победителей Всероссийского конкурса на звание «Самый благоустроенный город России»</t>
  </si>
  <si>
    <t>520 14 15</t>
  </si>
  <si>
    <t xml:space="preserve">Обеспечение деятельности вечерних школ за счет субвенции на обеспечение государственных гарантий прав граждан </t>
  </si>
  <si>
    <t>Топливно-энергетический комплекс</t>
  </si>
  <si>
    <t>795 40 01</t>
  </si>
  <si>
    <t>795 10 01</t>
  </si>
  <si>
    <t>002 08 00</t>
  </si>
  <si>
    <t>001 00 00</t>
  </si>
  <si>
    <t xml:space="preserve">Мобилизационная  и вневойсковая подготовка </t>
  </si>
  <si>
    <t>Обеспечение деятельности подведомственных учреждений за счет средств областного бюджета (питание школьников из малообеспеченных семей)</t>
  </si>
  <si>
    <t>421 99 22</t>
  </si>
  <si>
    <t>Обеспечение деятельности учреждений социального обслуживания населения за счет субсидии на обеспечение отдельных государственных полномочий в сфере социальной поддержки населения</t>
  </si>
  <si>
    <t>Дотации на обеспечение мер по дополнительной поддержке местных бюджетов</t>
  </si>
  <si>
    <t>517 05 00</t>
  </si>
  <si>
    <t>517 00 00</t>
  </si>
  <si>
    <t>13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</si>
  <si>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</si>
  <si>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</si>
  <si>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</si>
  <si>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</si>
  <si>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</si>
  <si>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СРЕДСТВА МАССОВОЙ ИНФОРМАЦИИ</t>
  </si>
  <si>
    <t xml:space="preserve"> ФИЗИЧЕСКАЯ КУЛЬТУРА И СПОРТ</t>
  </si>
  <si>
    <t>ЗДРАВООХРАНЕНИЕ</t>
  </si>
  <si>
    <t xml:space="preserve">Физическая культура </t>
  </si>
  <si>
    <t>Муниципальная целевая программа "Неотложные меры борьбы с туберкулезом на 2008-2012 годы"</t>
  </si>
  <si>
    <t>Муниципальная целевая программа "Вакцинопрофилактика"</t>
  </si>
  <si>
    <t>Физическая культура</t>
  </si>
  <si>
    <t>Другие вопросы в области здравоохранения</t>
  </si>
  <si>
    <t>Мероприятия в области  физической культуры и спорта</t>
  </si>
  <si>
    <t xml:space="preserve">Функционирование Правительства РФ, высших исполнительных органов государственной власти субъектов РФ, местных администраций </t>
  </si>
  <si>
    <t>Руководство и управление в сфере установленных функций органов государственной власти субъектов РФ  и органов местного самоуправления</t>
  </si>
  <si>
    <t>351 05 00</t>
  </si>
  <si>
    <t>Администрация муниципального образования "Светлогорский район"</t>
  </si>
  <si>
    <t>Фонд оплаты труда и страховые взносы</t>
  </si>
  <si>
    <t>121</t>
  </si>
  <si>
    <t>Иные выплаты персоналу, за исключением фонда оплаты труда</t>
  </si>
  <si>
    <t>122</t>
  </si>
  <si>
    <t>Закупка товаров, работ, услуг в сфере информационно-коммуникационных технологий</t>
  </si>
  <si>
    <t>242</t>
  </si>
  <si>
    <t>244</t>
  </si>
  <si>
    <t>Резервные средства</t>
  </si>
  <si>
    <t>870</t>
  </si>
  <si>
    <t>0013801</t>
  </si>
  <si>
    <t>0900200</t>
  </si>
  <si>
    <t>0920311</t>
  </si>
  <si>
    <t>7950031</t>
  </si>
  <si>
    <t>0013601</t>
  </si>
  <si>
    <t>3029900</t>
  </si>
  <si>
    <t>7955001</t>
  </si>
  <si>
    <t>Водное хозяйство</t>
  </si>
  <si>
    <t>0029901</t>
  </si>
  <si>
    <t>Обеспечение деятельности единой диспетчерской службы</t>
  </si>
  <si>
    <t>4310100</t>
  </si>
  <si>
    <t>Прочая закупка товаров, работ и услуг для муниципальных нужд</t>
  </si>
  <si>
    <t>4360900</t>
  </si>
  <si>
    <t>4508500</t>
  </si>
  <si>
    <t>КУЛЬТУРА, КИНЕМАТОГРАФИЯ</t>
  </si>
  <si>
    <t xml:space="preserve">Государственная поддержка в сфере культуры, кинематографии </t>
  </si>
  <si>
    <t>5140100</t>
  </si>
  <si>
    <t>5129700</t>
  </si>
  <si>
    <t>ФИЗИЧЕСКАЯ КУЛЬТУРА И СПОРТ</t>
  </si>
  <si>
    <t xml:space="preserve"> Мероприятия в области здравоохранения, спорта и физической культуры, туризма</t>
  </si>
  <si>
    <t>380</t>
  </si>
  <si>
    <t>Аппарат местных администраций</t>
  </si>
  <si>
    <t>0021200</t>
  </si>
  <si>
    <t>Депутаты представительского  органа муниципального образования</t>
  </si>
  <si>
    <t>Муниципальное учреждение "Отдел по бюджету и финансам Светлогорского района"</t>
  </si>
  <si>
    <t>3510200</t>
  </si>
  <si>
    <t>831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</si>
  <si>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местного самоуправления власти (муниципальных органов), либо должностных лиц этих органов, а также в результате деятельности казенных учреждений</t>
  </si>
  <si>
    <t>4209900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</si>
  <si>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</si>
  <si>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611</t>
  </si>
  <si>
    <t>612</t>
  </si>
  <si>
    <t>Субсидии бюджетным учреждениям на иные цели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</si>
  <si>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</si>
  <si>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621</t>
  </si>
  <si>
    <t>622</t>
  </si>
  <si>
    <t>Субсидии автономным учреждениям на иные цели</t>
  </si>
  <si>
    <t>610</t>
  </si>
  <si>
    <t>Субсидии бюджетным учреждениям</t>
  </si>
  <si>
    <t xml:space="preserve">Субсидии автономным учреждениям </t>
  </si>
  <si>
    <t>4219900</t>
  </si>
  <si>
    <t>620</t>
  </si>
  <si>
    <t>4239900</t>
  </si>
  <si>
    <t>4297800</t>
  </si>
  <si>
    <t>4320200</t>
  </si>
  <si>
    <t xml:space="preserve"> Молодежная политика и оздоровление детей</t>
  </si>
  <si>
    <t>Оздоровление детей</t>
  </si>
  <si>
    <t>0029900</t>
  </si>
  <si>
    <t>Обеспечение деятельности подведомственных  учреждений</t>
  </si>
  <si>
    <t>4829900</t>
  </si>
  <si>
    <t>Государственная поддержка  средств массовой информации</t>
  </si>
  <si>
    <t>0650300</t>
  </si>
  <si>
    <t>Обслуживание муниципального долга</t>
  </si>
  <si>
    <t>730</t>
  </si>
  <si>
    <t>5160130</t>
  </si>
  <si>
    <t>Выравнивание бюджетной обеспеченности поселений из районного фонда финансовой поддержки</t>
  </si>
  <si>
    <t>511</t>
  </si>
  <si>
    <t xml:space="preserve">Дотации на выравнивание бюджетной обеспеченности </t>
  </si>
  <si>
    <t>810</t>
  </si>
  <si>
    <t>Субсидии юридическим лицам (кроме муниципальных учреждений) и физическим лицам - производителям товаров, работ, услуг</t>
  </si>
  <si>
    <t>5058600</t>
  </si>
  <si>
    <t>Приобретение товаров, работ, услуг в пользу граждан</t>
  </si>
  <si>
    <t>323</t>
  </si>
  <si>
    <t>7950021</t>
  </si>
  <si>
    <t>322</t>
  </si>
  <si>
    <t>Субсидии гражданам на приобретение жилья</t>
  </si>
  <si>
    <t>7950011</t>
  </si>
  <si>
    <t>Обеспечение деятельности органа управления по организации и осуществлению опеки и попечительства совершеннолетних</t>
  </si>
  <si>
    <t>Обеспечение отдельных государственных полномочий в сфере социальной поддержки населения</t>
  </si>
  <si>
    <t>Общеэкономические вопросы</t>
  </si>
  <si>
    <t>7950000</t>
  </si>
  <si>
    <t>321</t>
  </si>
  <si>
    <t>Пособия и компенсации гражданам и иные социальные выплаты, кроме публичных нормативных обязательств</t>
  </si>
  <si>
    <t>7951001</t>
  </si>
  <si>
    <t>Мобилизационная и вневойсковая подготовка</t>
  </si>
  <si>
    <t>Муниципальное учреждение  "Учетно-финансовый центр Светлогорского района"</t>
  </si>
  <si>
    <t>Компенсация части  платы, взимаемой с родителей или законных представителей  за содержание ребенка в образовательных организациях, реализующих основную общеобразовательную программу дошкольного образования,  за счет средств областного бюджета</t>
  </si>
  <si>
    <t>5201002</t>
  </si>
  <si>
    <t>4429900</t>
  </si>
  <si>
    <t>4409900</t>
  </si>
  <si>
    <t>Дворцы и дома культуры, другие учреждения культуры</t>
  </si>
  <si>
    <t>4400000</t>
  </si>
  <si>
    <t>4420000</t>
  </si>
  <si>
    <t>Муниципальное учреждение    "Дом Культуры п.Приморье"</t>
  </si>
  <si>
    <t>0920000</t>
  </si>
  <si>
    <t>0929900</t>
  </si>
  <si>
    <t>852</t>
  </si>
  <si>
    <t>Уплата прочих налогов, сборов и иных платежей</t>
  </si>
  <si>
    <t>411</t>
  </si>
  <si>
    <t>Бюджетные инвестиции в объекты муниципальной собственности казенным учреждениям</t>
  </si>
  <si>
    <t>Строительство детского садика на 150 мест</t>
  </si>
  <si>
    <t>Дорожное хозяйство (дорожные фонды)</t>
  </si>
  <si>
    <t>7950411</t>
  </si>
  <si>
    <t>7950101</t>
  </si>
  <si>
    <t>Муниципальная целевая программа поддержки и развития малого и среднего предпринимательства на территории муниципального образования "Светлогорский район" на 2011-2015 годы</t>
  </si>
  <si>
    <t>Муниципальная целевая программа "Энергосбережение и повышение энергетической эффективности муниципального образования "Светлогорский район" на 2010-2020 годы"</t>
  </si>
  <si>
    <t>7954001</t>
  </si>
  <si>
    <t>Муниципальная целевая программа "Неотложные меры борьбы с туберкулезом в Светлогорском районе на 2008-2012годы"</t>
  </si>
  <si>
    <t>Муниципальная целевая программа "Вакцинопрофилактика на 2010-2012годы"</t>
  </si>
  <si>
    <t>7950012</t>
  </si>
  <si>
    <t>5221600</t>
  </si>
  <si>
    <t>Муниципальное учреждение "Архив Светлогорского района"</t>
  </si>
  <si>
    <t>Муниципальное учреждение "Управление жилищно-коммунального хозяйства администрации Светлогорского района"</t>
  </si>
  <si>
    <t>132</t>
  </si>
  <si>
    <t>851</t>
  </si>
  <si>
    <t>Уплата налога на имущество организаций и земельного налога</t>
  </si>
  <si>
    <t>Всего расходов</t>
  </si>
  <si>
    <t>5201302</t>
  </si>
  <si>
    <t>5201305</t>
  </si>
  <si>
    <t>5201303</t>
  </si>
  <si>
    <t>0020404</t>
  </si>
  <si>
    <t>2020404</t>
  </si>
  <si>
    <t>795 01 01</t>
  </si>
  <si>
    <t>795 04 11</t>
  </si>
  <si>
    <t>092 99 00</t>
  </si>
  <si>
    <t>5089902</t>
  </si>
  <si>
    <t>520 13 02</t>
  </si>
  <si>
    <t>Обеспечение деятельности органа управления по организации и осуществлению опеки и попечительства несовершеннолетних</t>
  </si>
  <si>
    <t>520 13 05</t>
  </si>
  <si>
    <t>002 04 04</t>
  </si>
  <si>
    <t>Обеспечение деятельности органа управления по организации и осуществлению опеки и попечительства в отношении совершеннолетних граждан</t>
  </si>
  <si>
    <t>482 99 00</t>
  </si>
  <si>
    <t xml:space="preserve">Приложение № 7 </t>
  </si>
  <si>
    <t>4200200</t>
  </si>
  <si>
    <t>4200000</t>
  </si>
  <si>
    <t>Детские дошкольные учреждения</t>
  </si>
  <si>
    <t>Предоставление услуг по воспитанию и обеспечению детей-инвалидов в муниципальных дошкольных образовательных учреждениях Калининградской области</t>
  </si>
  <si>
    <t>3510500</t>
  </si>
  <si>
    <t>Мероприятия в области коммунального хозяйства разработка проектно-сметной документации</t>
  </si>
  <si>
    <t>Муниципальное казенное учреждение "Управление капитального строительства администрации Светлогорский район"</t>
  </si>
  <si>
    <t>795 07 02</t>
  </si>
  <si>
    <t>7950702</t>
  </si>
  <si>
    <t>Субсидии некоммерческим организациям</t>
  </si>
  <si>
    <t>631</t>
  </si>
  <si>
    <t>7955004</t>
  </si>
  <si>
    <t>795 05 04</t>
  </si>
  <si>
    <t>7955005</t>
  </si>
  <si>
    <t>ФЦП "Строительство берегоукрепительных сооружений озера Тихое и реки Светлогорка в г. Светлогорске (III этап), средства бюджета МО г.п. "Город Светлогорск"</t>
  </si>
  <si>
    <t>ФЦП "Уличная хозяйственно-бытовая канализация по ул. Тельмана, пос. Отрадное г. Светлогорска",средства бюджета МО г.п. "Город Светлогорск"</t>
  </si>
  <si>
    <t>795 05 05</t>
  </si>
  <si>
    <t xml:space="preserve">Мероприятия в области коммунального хозяйства </t>
  </si>
  <si>
    <t>ФЦП "Уличная хозяйственно-бытовая канализация по ул. Тельмана, пос. Отрадное г. Светлогорска", средства бюджета МО г.п. "Город Светлогорск"</t>
  </si>
  <si>
    <t xml:space="preserve">Целевые программы муниципальных образований "Энергосбережение и повышение энергетической эффективности на 2010-2020гг" </t>
  </si>
  <si>
    <t>Целевая программа Калининградской области "Дети-сироты на 2012-2016 годы" средства областного бюджета</t>
  </si>
  <si>
    <t>Целевая программа Калининградской области "Дети-сироты на 2012-2016 годы" средства районного бюджета</t>
  </si>
  <si>
    <t>Закон Калининградской области от 28.12.2006г №109 "О выплате денежных средств на содержание детей, находящихся под опекой(попечительством)" (субвенции на содержание детей-сирот, детей, оставшихся без попечения родителей, переданных на воспитание под опеку(попечительство), в приемные и патронатные семьи, а также на выплату заработной платы приемному родителю и патронатному воспитателю)</t>
  </si>
  <si>
    <t>Муниципальное учреждение "Районный Совет депутатов Светлогорского района"</t>
  </si>
  <si>
    <t>Программа "Развитие информационных систем обеспечения градостроительной деятельности"</t>
  </si>
  <si>
    <t>Муниципальная целевая программа "Доступная для инвалидов среда жизнедеятельности на 2008-2012гг."</t>
  </si>
  <si>
    <t>Долгосрочная целевая программа "Обеспечение жильем молодых семей" на 2011-2015 годы</t>
  </si>
  <si>
    <t>Муниципальное учреждение культуры "Светлогорская централизованная библиотечная система"</t>
  </si>
  <si>
    <t>ФЦП "Строительство берегоукрепительных сооружений озера Тихое и реки Светлогорка в г. Светлогорске" (III этап), средства бюджета МО г.п. "Город Светлогорск"</t>
  </si>
  <si>
    <t>Целевая программа Калининградской области "Дети-сироты" на 2012-2016 годы средства областного бюджета</t>
  </si>
  <si>
    <t>Целевая программа Калининградской области "Дети-сироты" на 2012-2016 годы средства районного бюджета</t>
  </si>
  <si>
    <t>Муниципальная целевая программа "Обеспечение жильем молодых семей в муниципальном образовании Светлогорский район на 2009-2010 годы"</t>
  </si>
  <si>
    <t>Закон Калининградской области от 28.12.2006г №109 "О выплате денежных средств на содержание детей, находящихся под опекой (попечительством)" (субвенции на содержание детей-сирот, детей, оставшихся без попечения родителей, переданных на воспитание под опеку (попечительство), в приемные и патронатные семьи, а также на выплату заработной платы приемному родителю и патронатному воспитателю)</t>
  </si>
  <si>
    <t xml:space="preserve">Резервный фонд по предупреждению и ликвидации последствий чрезвычайных ситуаций и стихийных бедствий </t>
  </si>
  <si>
    <t>0700501</t>
  </si>
  <si>
    <t>0700502</t>
  </si>
  <si>
    <t>0700503</t>
  </si>
  <si>
    <t>0700504</t>
  </si>
  <si>
    <t>Государственная регистрация актов гражданского состояния за счет средств федерального бюджета</t>
  </si>
  <si>
    <t>Осуществление полномочий Калининградской области в сфере организации работы комиссий  по делам несовершеннолетних и защите их прав</t>
  </si>
  <si>
    <t>Исполнение судебных актов  по обращению взыскания  на средства местного бюджета</t>
  </si>
  <si>
    <t>Осуществление первичного воинского учета на территориях, где отсутствуют военные комиссариаты за счет средств федерального бюджета</t>
  </si>
  <si>
    <t>Бюджетные инвестиции в объекты государственной  собственности казенным учреждениям</t>
  </si>
  <si>
    <t>Осуществление полномочий Калининградской области в сфере обеспечения деятельности органа управления по организации и осуществлению  опеки и попечительства</t>
  </si>
  <si>
    <t>Осуществление полномочий Калининградской области по предоставлению услуги по воспитанию и обучению детей-инвалидов в муниципальных дошкольных образовательных учреждениях Калининградской области</t>
  </si>
  <si>
    <t>Осуществление полномочий Калининградской области в сфере социальной поддержки населения в части  обеспечения деятельности учреждений социального обслуживания населения</t>
  </si>
  <si>
    <t>Осуществление полномочий  Калининградской области в сфере выплаты компенсации части платы, взимаемой  с родителей или  законных представителей за содержание ребенка в образовательных организациях, реализующих основную общеобразовательную программу дошкольного образования</t>
  </si>
  <si>
    <t>ФЦП "Строительство берегоукрепительных сооружений озера Тихое и реки Светлогорки" (IV этап строительства)</t>
  </si>
  <si>
    <t>4361212</t>
  </si>
  <si>
    <t xml:space="preserve">Обеспечение подвоза учащихся к образовательным учреждениям </t>
  </si>
  <si>
    <t>5204100</t>
  </si>
  <si>
    <t xml:space="preserve">Осуществление полномочий Калининградской области в сфере: обеспечения государственных гарантий прав граждан на получение общедоступного и бесплатного дошкольного, начального общего, основного общего и среднего (полного) общего  образования                </t>
  </si>
  <si>
    <t>4440200</t>
  </si>
  <si>
    <t>Пенсионное обеспечение</t>
  </si>
  <si>
    <t xml:space="preserve">Доплаты к пенсиям, дополнительное пенсионное обеспечение          
</t>
  </si>
  <si>
    <t>4910000</t>
  </si>
  <si>
    <t>Пенсии, выплачиваемые организациями сектора государственного управления</t>
  </si>
  <si>
    <t>312</t>
  </si>
  <si>
    <t>111</t>
  </si>
  <si>
    <t>112</t>
  </si>
  <si>
    <t>6000400</t>
  </si>
  <si>
    <t>Ведомственная целевые программы "Развитие образования на период до 2015 года"</t>
  </si>
  <si>
    <t>7950712</t>
  </si>
  <si>
    <t xml:space="preserve">Федеральная целевая программа развития Калининградской области на период до 2015 года </t>
  </si>
  <si>
    <t>Федеральная целевая программа развития Калининградской области на период до 2015 года  "Строительство берегоукрепительных сооружений озера Тихое и реки Светлогорка в г. Светлогорске Калининградской области (IV этап строительства)"</t>
  </si>
  <si>
    <t>Бюджетные инвестиции в объекты муниципальной собственности казенным учреждениям (Софинансирование работ по ремонту дорог в МО "Поселок Донское")</t>
  </si>
  <si>
    <t>Бюджетные инвестиции в объекты муниципальной собственности казенным учреждениям (Софинансирование работ по ремонту дорог в МО  "Поселок Приморье")</t>
  </si>
  <si>
    <t>Бюджетные инвестиции в объекты муниципальной собственности казенным учреждениям (Софинансирование работ по ремонту дорог в МО  "Город Светлогорск")</t>
  </si>
  <si>
    <t>Бюджетные инвестиции в объекты муниципальной собственности казенным учреждениям (софинансирование за счет средств районного бюджет)</t>
  </si>
  <si>
    <t>7950434</t>
  </si>
  <si>
    <t xml:space="preserve">Газопроводы-вводы к жилым домам в п. Приморье </t>
  </si>
  <si>
    <t>Распределительный газопровод высокого и низкого давления пос. Лесное</t>
  </si>
  <si>
    <t>7950421</t>
  </si>
  <si>
    <t>7950422</t>
  </si>
  <si>
    <t>Распределительный газопровод низкого давления от ШРП №31 до улиц: Кленовая, Артиллерийская, Дачная, Железнодорожная и рапределительный газопровод низкого давления к жилым домам № 5,5а, 7,9,9/5 по Балтийскому проспекту в п. Приморье. Газопровод низкого давления к жилым домам № 5,5а,7,9,9/5 по Балтийскому проспекту в п. Приморье</t>
  </si>
  <si>
    <t>7950423</t>
  </si>
  <si>
    <t>Газопроводы-вводы к жилым домам в п. Донское</t>
  </si>
  <si>
    <t>7950424</t>
  </si>
  <si>
    <t>Федеральная целевая программа развития Калининградской области на период до 2015 года "Строительство детского садика на 150 мест в г. Светлогорске"</t>
  </si>
  <si>
    <t xml:space="preserve">Бюджетные инвестиции в объекты муниципальной собственности казенным учреждениям </t>
  </si>
  <si>
    <t>Международный проект "Повышение чистоты вод Балтийского моря путем развития системы управления водными ресурсами"</t>
  </si>
  <si>
    <t>7955071</t>
  </si>
  <si>
    <t>Жилищное хозяйство</t>
  </si>
  <si>
    <t xml:space="preserve">Обеспечение мероприятий по капитальному ремонту многоквартирных домов за счет средств бюджетов </t>
  </si>
  <si>
    <t>0980201</t>
  </si>
  <si>
    <t>7950032</t>
  </si>
  <si>
    <t>Программа по обращению отходами производства и потребления в Калининградской области</t>
  </si>
  <si>
    <t>383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</si>
  <si>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</si>
  <si>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002 0 400</t>
  </si>
  <si>
    <t>795 04 34</t>
  </si>
  <si>
    <t>795 04 22</t>
  </si>
  <si>
    <t>795 04 21</t>
  </si>
  <si>
    <t>795 04 23</t>
  </si>
  <si>
    <t>795 04 24</t>
  </si>
  <si>
    <t xml:space="preserve">Доплаты к пенсиям, дополнительное пенсионное обеспечение </t>
  </si>
  <si>
    <t>491 00 00</t>
  </si>
  <si>
    <t>795 00 32</t>
  </si>
  <si>
    <t>795 07 12</t>
  </si>
  <si>
    <t>795 00 01</t>
  </si>
  <si>
    <t>436 12 12</t>
  </si>
  <si>
    <t>002 04 02</t>
  </si>
  <si>
    <t>520 41 00</t>
  </si>
  <si>
    <t>795 50 71</t>
  </si>
  <si>
    <t>«Развитие сети автомобильных дорог Калининградской области на 2013 - 2018 годы</t>
  </si>
  <si>
    <t xml:space="preserve">Разработка комплексной программы </t>
  </si>
  <si>
    <t>Разработка комплексной программы</t>
  </si>
  <si>
    <t>0980202</t>
  </si>
  <si>
    <t>изменения к II чтению</t>
  </si>
  <si>
    <t>изменения к III чтению</t>
  </si>
  <si>
    <t>0920401</t>
  </si>
  <si>
    <t>Муниципальное казенное учреждение  "Комитет муниципального имущества и земельных ресурсов"</t>
  </si>
  <si>
    <t>Муниципальное казенное учреждение  "Информационные коммуникационные системы"</t>
  </si>
  <si>
    <t>7950525</t>
  </si>
  <si>
    <t>521</t>
  </si>
  <si>
    <t>Субсидии, за исключением субсидий на софинансирование объектов капитального строительства государственной собственности и муниципальной собственности</t>
  </si>
  <si>
    <t>795 05 25</t>
  </si>
  <si>
    <t>Распределение  бюджетных ассигнований на 2013 год  по разделам, подразделам и целевым статьям  классификации расходов  бюджета  муниципального образования «Светлогорский район»</t>
  </si>
  <si>
    <t xml:space="preserve">Приложение № 8 </t>
  </si>
  <si>
    <t>341</t>
  </si>
  <si>
    <t>384</t>
  </si>
  <si>
    <t>поправки</t>
  </si>
  <si>
    <t>4320201</t>
  </si>
  <si>
    <t>Организация отдыха детей всех групп здоровья в лагерях различных типов</t>
  </si>
  <si>
    <t>Обеспечение отдыха и оздоровление детей, находящихся в трудной жизненной ситуации за счет средств федерального бюджета</t>
  </si>
  <si>
    <t>432 02 01</t>
  </si>
  <si>
    <t>Обеспечение отдыха и оздоровление детей, находящихся в трудной жизненной ситуации за счет средств областного бюджета</t>
  </si>
  <si>
    <t>Обеспечение отдыха и оздоровление детей, находящихся в трудной жизненной ситуации за счет средств федерального и областного бюджетов</t>
  </si>
  <si>
    <t>1008828</t>
  </si>
  <si>
    <t>Обеспечение жильем молодых семей в рамках федеральной целевой программы "Жилище"</t>
  </si>
  <si>
    <t>100 88 28</t>
  </si>
  <si>
    <t>5223211</t>
  </si>
  <si>
    <t>Подпрограмма "Обеспечение жильем молодых семей"</t>
  </si>
  <si>
    <t>522 32 11</t>
  </si>
  <si>
    <t>Обеспечение мероприятий по капитальному ремонту многоквартирных домов</t>
  </si>
  <si>
    <t xml:space="preserve"> Жилищное хозяйство</t>
  </si>
  <si>
    <t xml:space="preserve"> Коммунальное хозяйство</t>
  </si>
  <si>
    <t xml:space="preserve"> Мероприятия в области коммунального хозяйства</t>
  </si>
  <si>
    <t>5226500</t>
  </si>
  <si>
    <t xml:space="preserve"> Целевая программа Калининградской области "Обращение с отходами производства и потребления в Калининградской области на 2012-2016 годы"</t>
  </si>
  <si>
    <t>6000100</t>
  </si>
  <si>
    <t>Уличное освещение</t>
  </si>
  <si>
    <t>6000200</t>
  </si>
  <si>
    <t>Строительство и содержание автомобильных дорог и инженерных сооружений на них в границах городских  округов и поселений в рамках благоустройства</t>
  </si>
  <si>
    <t>6000500</t>
  </si>
  <si>
    <t>3500300</t>
  </si>
  <si>
    <t xml:space="preserve">Мероприятия в области жилищного хозяйства </t>
  </si>
  <si>
    <t>350 03 00</t>
  </si>
  <si>
    <t>092 03 11</t>
  </si>
  <si>
    <t>4200400</t>
  </si>
  <si>
    <t>Оказание услуги по дошкольному образованию в муниципальных учреждениях и в учреждениях, созданных в рамках муниципально-частного партнерства, на открываемые дополнительные места в указанных учреждениях</t>
  </si>
  <si>
    <t>4209901</t>
  </si>
  <si>
    <t>5203500</t>
  </si>
  <si>
    <t>Поддержка мер по обеспечению повышения заработной платы педагогическим работникам дошкольных образовательных учреждений за счет средств местного бюджета</t>
  </si>
  <si>
    <t>Поддержка мер по обеспечению повышения заработной платы работникам детских дошкольных учреждений и учреждений дополнительного образования детей за счет средств областного бюджета</t>
  </si>
  <si>
    <t>420 02 00</t>
  </si>
  <si>
    <t>420 04 00</t>
  </si>
  <si>
    <t>420 99 01</t>
  </si>
  <si>
    <t>522 35 00</t>
  </si>
  <si>
    <t>4361204</t>
  </si>
  <si>
    <t xml:space="preserve"> Обеспечение питания учащихся из малообеспеченных семей в муниципальных общеобразовательных учреждениях</t>
  </si>
  <si>
    <t>5204200</t>
  </si>
  <si>
    <t>Фонд стимулирования качества образования в общеобразовательных учреждениях</t>
  </si>
  <si>
    <t>436 12 04</t>
  </si>
  <si>
    <t>520 42 00</t>
  </si>
  <si>
    <t>5210403</t>
  </si>
  <si>
    <t>540</t>
  </si>
  <si>
    <t>Прочие межбюджетные трансферты общего характера</t>
  </si>
  <si>
    <t>Оздоровление детей за счет средств областного бюджета</t>
  </si>
  <si>
    <t>4420001</t>
  </si>
  <si>
    <t>Поддержка мер по обеспечению повышения заработной платы специалистам муниципальных библиотек</t>
  </si>
  <si>
    <t xml:space="preserve"> Фонд непредвиденных расходов</t>
  </si>
  <si>
    <t xml:space="preserve">Энергосбережение и повышение энергетической эффективности на 2010-2020гг </t>
  </si>
  <si>
    <t>Резервный фонд по предупреждению  и ликвидации последствий чрезвычайных ситуаций и стихийных бедствий</t>
  </si>
  <si>
    <t>4361205</t>
  </si>
  <si>
    <t>Обеспечение подвоза учащихся к муниципальным общеобразовательным учреждениям</t>
  </si>
  <si>
    <t>313</t>
  </si>
  <si>
    <t>Компенсация части родительской платы за содержание ребенка в муниципальных учреждениях, реализующих основную общеобразовательную программу</t>
  </si>
  <si>
    <t>Пособия и компенсации по публичным нормативным обязательствам</t>
  </si>
  <si>
    <t>5220800</t>
  </si>
  <si>
    <t>Массовый спорт</t>
  </si>
  <si>
    <t>Мероприятия ЦП КО "Физическая культура и спорт для всех" на 2007-2016 годы по постановлению от 26.10.2012 №815, за счет остатка на 01.01.2013</t>
  </si>
  <si>
    <t>522 08 00</t>
  </si>
  <si>
    <t>5225944</t>
  </si>
  <si>
    <t>5225965</t>
  </si>
  <si>
    <t>ФЦП Строительство газопровода для перевода на природный газ котельной №5 пос. Донское, за счет остатка на 01.01.2013</t>
  </si>
  <si>
    <t>5222380</t>
  </si>
  <si>
    <t>5225423</t>
  </si>
  <si>
    <t xml:space="preserve"> ФЦП "Реконструкция (перевод) на природный газ котельной №5 в пос. Донское, за счет остатка на 01.01.2013</t>
  </si>
  <si>
    <t xml:space="preserve"> ФЦП Распределительный газопровод высокого и низкого давления в пос. Лесное</t>
  </si>
  <si>
    <t>5225675</t>
  </si>
  <si>
    <t>5225695</t>
  </si>
  <si>
    <t xml:space="preserve">ФЦП Газопроводы-вводы к жилым домам в пос.Приморье </t>
  </si>
  <si>
    <t>Муниципальные целевые программы</t>
  </si>
  <si>
    <t>7950404</t>
  </si>
  <si>
    <t>Строительство газопровода ввода к жилым домам пос. Майский за счет МБТ г.п. Г. Светлогорска</t>
  </si>
  <si>
    <t>5225593</t>
  </si>
  <si>
    <t>1004581</t>
  </si>
  <si>
    <t>5225154</t>
  </si>
  <si>
    <t xml:space="preserve"> ЦП КО "Областная инвестиционная программа на 2009-2014 гг". Реконструкция здания ДШИ г. Светлогорск за счет остатка на 01.01.2013</t>
  </si>
  <si>
    <t>5080001</t>
  </si>
  <si>
    <t>7950425</t>
  </si>
  <si>
    <t>Работы по тех.инвентаризации объекта "Реконструкция (перевод) на природный газ котельной №5 в п. Донское"</t>
  </si>
  <si>
    <t>Бюджетные инвестиции в объекты муниципальной собственности казенным учреждениям (софинансирование за счет МБТ г.п. поселок Донское)</t>
  </si>
  <si>
    <t>5226501</t>
  </si>
  <si>
    <t>Разработка схем санитарной очистки территории, за счет МБТ г. Светлогорска</t>
  </si>
  <si>
    <t>Иные межбюджетные трансферты бюджетам поселений из бюджетов муниципальных районов г.п. Город Светлогорск на оплату работ и услуг на прием, транспортировку и очистку ливневых сточных вод</t>
  </si>
  <si>
    <t>090 04 01</t>
  </si>
  <si>
    <t>522 00 00</t>
  </si>
  <si>
    <t>522 23 80</t>
  </si>
  <si>
    <t>Проведение проектных работ по объекту "Создание пешеходной туристической зоны в г. Светлогорске с реконструкцией ул. Октябрьской и ул. Ленина"</t>
  </si>
  <si>
    <t>Региональные целевые программы</t>
  </si>
  <si>
    <t>522 54 23</t>
  </si>
  <si>
    <t>522 56 75</t>
  </si>
  <si>
    <t>522 56 95</t>
  </si>
  <si>
    <t>522 65 00</t>
  </si>
  <si>
    <t>ФЦП "Реконструкция (перевод) на природный газ котельной №5 в пос. Донское, за счет остатка на 01.01.2013</t>
  </si>
  <si>
    <t>ФЦП Распределительный газопровод высокого и низкого давления в пос. Лесное</t>
  </si>
  <si>
    <t>522 65 01</t>
  </si>
  <si>
    <t>795 04 04</t>
  </si>
  <si>
    <t>600 02 00</t>
  </si>
  <si>
    <t>600 01 00</t>
  </si>
  <si>
    <t>100 45 81</t>
  </si>
  <si>
    <t>522 55 93</t>
  </si>
  <si>
    <t>Областная инвестиционная программа  Калининградской области на период до 2015 года "Строительство детского садика на 150 мест в г. Светлогорске"</t>
  </si>
  <si>
    <t>522 51 54</t>
  </si>
  <si>
    <t>436 12 05</t>
  </si>
  <si>
    <t>795 04 25</t>
  </si>
  <si>
    <t>Ведомственная структура расходов бюджета муниципального образования «Светлогорский район»                                                                                                                                         на 2013 год</t>
  </si>
  <si>
    <t>0980304</t>
  </si>
  <si>
    <t>Целевая программа Калининградской области "Переселение граждан из аврийного жилищного фонда с учетом необходимости развития алоэтажного жилищного строительства на 2013-2015гг, за счет средств местного бюджета</t>
  </si>
  <si>
    <t>098 03 04</t>
  </si>
  <si>
    <t>Иные выплаты персоналу, за исключением фонда
оплаты труда</t>
  </si>
  <si>
    <t>Бюджетные инвестиции в объекты государственной собственности казенным учреждениям вне рамок государственного оборонного заказа</t>
  </si>
  <si>
    <t>0980104</t>
  </si>
  <si>
    <t xml:space="preserve"> Обеспечение мероприятий по переселению граждан из аварийного жилого фонда за счет средств, поступивших от гос. корпорации - Фонда содействия реформированию жилищно-коммунального хозяйства</t>
  </si>
  <si>
    <t>0980204</t>
  </si>
  <si>
    <t>5050502</t>
  </si>
  <si>
    <t>Субсидия местным бюджетам на софинансирование работ по энергетическому обследованию и установке приборов учета в муниципальных учреждениях</t>
  </si>
  <si>
    <t>5226800</t>
  </si>
  <si>
    <t>Исполнение судебных решений по искам</t>
  </si>
  <si>
    <t>Прочая закупка товаров, работ и услуг для государственных нужд</t>
  </si>
  <si>
    <t>0700191</t>
  </si>
  <si>
    <t>Резервный фонд Правительства Калининградской области</t>
  </si>
  <si>
    <t xml:space="preserve"> МЦП Развитие системы образования на период до 2015года</t>
  </si>
  <si>
    <t>5200901</t>
  </si>
  <si>
    <t>Оздоровление детей за счет фед.бюджета</t>
  </si>
  <si>
    <t>5228100</t>
  </si>
  <si>
    <t>4440201</t>
  </si>
  <si>
    <t xml:space="preserve">  Оздоровление детей за счет местного бюджета</t>
  </si>
  <si>
    <t xml:space="preserve"> Приобретение товаров, работ, услуг в пользу граждан</t>
  </si>
  <si>
    <t>Комплектование книжных фондов</t>
  </si>
  <si>
    <t>5220200</t>
  </si>
  <si>
    <t xml:space="preserve">Федеральная целевая программа развития Калининградской области на период до 2015 года  "Строительство берегоукрепительных сооружений озера Тихое и реки Светлогорка в г. Светлогорске Калининградской области </t>
  </si>
  <si>
    <t>Федеральная целевая программа развития Калининградской области на период до 2015 года  "Строительство берегоукрепительных сооружений озера Тихое и реки Светлогорка в г. Светлогорске Калининградской области ( I и II этапы строительства)</t>
  </si>
  <si>
    <t>Федеральная целевая программа развития Калининградской области на период до 2015 года  "Строительство берегоукрепительных сооружений озера Тихое и реки Светлогорка в г. Светлогорске Калининградской области ( III этап строительства)</t>
  </si>
  <si>
    <t>ЦП "Строительство, реконструкция, кап.ремонт, ремонт и содержание автомобильных дорог общего пользования на 2013-2018гг."</t>
  </si>
  <si>
    <t>5221008</t>
  </si>
  <si>
    <t>7950402</t>
  </si>
  <si>
    <t>Софинансирование объектов капитального строительства государственной собственности</t>
  </si>
  <si>
    <t>5225273</t>
  </si>
  <si>
    <t>7957001</t>
  </si>
  <si>
    <t xml:space="preserve"> ЦП КО "Областная инвестиционная программа на 2009-2014 гг". Реконструкция здания ДШИ г. Светлогорск </t>
  </si>
  <si>
    <t>505 05 02</t>
  </si>
  <si>
    <t>522 68 00</t>
  </si>
  <si>
    <t>Cофинансирование работ по энергетическому обследованию и установке приборов учета в муниципальных учреждениях</t>
  </si>
  <si>
    <t>070 01 91</t>
  </si>
  <si>
    <t>520 09 01</t>
  </si>
  <si>
    <t>Целевые программы муниципальных образований "Доступная для инвалидов среда жизнедеятельности</t>
  </si>
  <si>
    <t>522 81 00</t>
  </si>
  <si>
    <t>444 02 00</t>
  </si>
  <si>
    <t>522 02 00</t>
  </si>
  <si>
    <t>522 10 08</t>
  </si>
  <si>
    <t>522 52 73</t>
  </si>
  <si>
    <t>795 70 01</t>
  </si>
  <si>
    <t>Иные межбюджетные трансферты бюджетам поселений из бюджетов муниципальных районов на организацию спасательного поста в п. Приморье</t>
  </si>
  <si>
    <t>Транспорт</t>
  </si>
  <si>
    <t>Резервный фонд Правительства Калининградской области, на выполнение работ по капитальному ремонту канатной дороги по ул. Московской в г. Светлогорске</t>
  </si>
  <si>
    <t>Субсидии юридическим лицам (кроме государственных учреждений) и физическим лицам -производителям товаров, работ, услуг</t>
  </si>
  <si>
    <t>070 0191</t>
  </si>
  <si>
    <t xml:space="preserve">Приложение № 3 </t>
  </si>
  <si>
    <t>Субсидии на проведение отдельных мероприятий по другим видам транспорта</t>
  </si>
  <si>
    <t>3170100</t>
  </si>
  <si>
    <t>317 01 00</t>
  </si>
  <si>
    <t>от 13   августа 2013 года № 27</t>
  </si>
  <si>
    <t>от 13  августа  2013 года № 27</t>
  </si>
  <si>
    <t>Капитальный ремонт канатной дороги по ул. Московская в г. Светлогорске, средства местного бюджета</t>
  </si>
  <si>
    <t>Обеспечение мероприятий по переселению  граждан из аварийного жилищного фонда</t>
  </si>
  <si>
    <t>Целевая программа Калининградской области "Переселение граждан из аврийного жилищного фонда с учетом необходимости развития малоэтажного жилищного строительства на 2013-2015гг, за счет средств местного бюджета</t>
  </si>
  <si>
    <t>Целевые программы муниципальных образований "Доступная для инвалидов среда жизнедеятельности"</t>
  </si>
  <si>
    <t>Выплата единовременного пособия при всех формах устройства детей, лишенных родительского попечения, в семью</t>
  </si>
  <si>
    <t>Обеспечение питания учащихся из малообеспеченных семей в муниципальных общеобразовательных учреждениях</t>
  </si>
  <si>
    <r>
      <t xml:space="preserve">Приложение №   4 </t>
    </r>
    <r>
      <rPr>
        <u/>
        <sz val="12"/>
        <rFont val="Times New Roman"/>
        <family val="1"/>
        <charset val="204"/>
      </rPr>
      <t xml:space="preserve"> </t>
    </r>
  </si>
  <si>
    <t>от 17 декабря   2012 года № 73</t>
  </si>
  <si>
    <t>ФЦП "Разработка проектной документации на распределительные газопроводы и газовые вводы к жилым домам пос. Донское за счет остатка на 01.01.2013</t>
  </si>
  <si>
    <t>от 17 декабря 2012 года № 73</t>
  </si>
  <si>
    <t>Обеспечение мероприятий по переселению граждан из аварийного жилого фонда за счет средств, поступивших от гос. корпорации - Фонда содействия реформированию жилищно-коммунального хозяйства</t>
  </si>
  <si>
    <t>МП "Повышение чистоты вод Балтийского моря"</t>
  </si>
  <si>
    <t>Компенсация выпадающих доходов  организациям, предоставляющим населению услуги теплоснабжения по тарифам, не обеспечивающим возмещение издержек</t>
  </si>
  <si>
    <t>Субсидии юридическим лицам (кроме государственных учреждений) и физическим лицам - производителям товаров, работ, услуг за счет средств областного бюджета</t>
  </si>
  <si>
    <t>МУ "Отдел социальной защиты населения администрации Светлогорского района"</t>
  </si>
  <si>
    <t>ФЦП "Разработка проектной документации на распределительные газопроводы и газовые вводы к жилым домам пос. Донское" за счет остатка на 01.01.2013</t>
  </si>
  <si>
    <t xml:space="preserve">ЦП КО "Областная инвестиционная программа на 2009-2014 гг". Реконструкция здания ДШИ г. Светлогорск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</si>
</sst>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9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22">
    <xf numFmtId="0" fontId="0" fillId="0" borderId="0" xfId="0"/>
    <xf numFmtId="0" fontId="2" fillId="0" borderId="1" xfId="0" applyFont="1" applyFill="1" applyBorder="1" applyAlignment="1">
      <alignment horizontal="left" wrapText="1"/>
    </xf>
    <xf numFmtId="0" fontId="2" fillId="0" borderId="0" xfId="0" applyFont="1" applyFill="1" applyBorder="1"/>
    <xf numFmtId="0" fontId="2" fillId="0" borderId="0" xfId="0" applyFont="1" applyFill="1"/>
    <xf numFmtId="4" fontId="2" fillId="0" borderId="0" xfId="0" applyNumberFormat="1" applyFont="1" applyFill="1" applyAlignment="1">
      <alignment horizontal="right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shrinkToFit="1"/>
    </xf>
    <xf numFmtId="4" fontId="1" fillId="2" borderId="4" xfId="0" applyNumberFormat="1" applyFont="1" applyFill="1" applyBorder="1" applyAlignment="1" applyProtection="1">
      <alignment horizontal="right" shrinkToFit="1"/>
      <protection locked="0"/>
    </xf>
    <xf numFmtId="0" fontId="1" fillId="2" borderId="2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center" shrinkToFit="1"/>
    </xf>
    <xf numFmtId="4" fontId="1" fillId="2" borderId="1" xfId="0" applyNumberFormat="1" applyFont="1" applyFill="1" applyBorder="1" applyAlignment="1" applyProtection="1">
      <alignment horizontal="right" shrinkToFit="1"/>
      <protection locked="0"/>
    </xf>
    <xf numFmtId="0" fontId="2" fillId="2" borderId="2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shrinkToFit="1"/>
    </xf>
    <xf numFmtId="4" fontId="2" fillId="2" borderId="1" xfId="0" applyNumberFormat="1" applyFont="1" applyFill="1" applyBorder="1" applyAlignment="1" applyProtection="1">
      <alignment horizontal="right" shrinkToFit="1"/>
      <protection locked="0"/>
    </xf>
    <xf numFmtId="4" fontId="2" fillId="0" borderId="0" xfId="0" applyNumberFormat="1" applyFont="1" applyFill="1"/>
    <xf numFmtId="0" fontId="1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0" fontId="2" fillId="2" borderId="5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1" fillId="2" borderId="8" xfId="0" applyFont="1" applyFill="1" applyBorder="1" applyAlignment="1">
      <alignment wrapText="1"/>
    </xf>
    <xf numFmtId="4" fontId="1" fillId="2" borderId="10" xfId="0" applyNumberFormat="1" applyFont="1" applyFill="1" applyBorder="1" applyAlignment="1" applyProtection="1">
      <alignment horizontal="right" shrinkToFit="1"/>
      <protection locked="0"/>
    </xf>
    <xf numFmtId="4" fontId="1" fillId="0" borderId="7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wrapText="1"/>
    </xf>
    <xf numFmtId="0" fontId="5" fillId="0" borderId="0" xfId="0" applyFont="1"/>
    <xf numFmtId="0" fontId="5" fillId="3" borderId="0" xfId="0" applyFont="1" applyFill="1"/>
    <xf numFmtId="49" fontId="5" fillId="3" borderId="0" xfId="0" applyNumberFormat="1" applyFont="1" applyFill="1" applyAlignment="1">
      <alignment horizontal="center"/>
    </xf>
    <xf numFmtId="0" fontId="5" fillId="3" borderId="0" xfId="0" applyFont="1" applyFill="1" applyBorder="1"/>
    <xf numFmtId="0" fontId="8" fillId="3" borderId="1" xfId="0" applyFont="1" applyFill="1" applyBorder="1"/>
    <xf numFmtId="49" fontId="8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left" wrapText="1"/>
    </xf>
    <xf numFmtId="0" fontId="8" fillId="3" borderId="1" xfId="0" applyFont="1" applyFill="1" applyBorder="1" applyAlignment="1">
      <alignment wrapText="1"/>
    </xf>
    <xf numFmtId="49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/>
    <xf numFmtId="0" fontId="1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wrapText="1"/>
    </xf>
    <xf numFmtId="4" fontId="5" fillId="3" borderId="1" xfId="0" applyNumberFormat="1" applyFont="1" applyFill="1" applyBorder="1"/>
    <xf numFmtId="4" fontId="8" fillId="3" borderId="1" xfId="0" applyNumberFormat="1" applyFont="1" applyFill="1" applyBorder="1"/>
    <xf numFmtId="0" fontId="8" fillId="3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0" fontId="2" fillId="3" borderId="2" xfId="1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horizontal="left" wrapText="1"/>
    </xf>
    <xf numFmtId="0" fontId="2" fillId="3" borderId="5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left" wrapText="1"/>
    </xf>
    <xf numFmtId="4" fontId="5" fillId="3" borderId="0" xfId="0" applyNumberFormat="1" applyFont="1" applyFill="1"/>
    <xf numFmtId="0" fontId="7" fillId="2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4" fontId="14" fillId="0" borderId="0" xfId="0" applyNumberFormat="1" applyFont="1"/>
    <xf numFmtId="4" fontId="17" fillId="0" borderId="0" xfId="0" applyNumberFormat="1" applyFont="1"/>
    <xf numFmtId="4" fontId="14" fillId="3" borderId="0" xfId="0" applyNumberFormat="1" applyFont="1" applyFill="1"/>
    <xf numFmtId="0" fontId="4" fillId="3" borderId="13" xfId="0" applyFont="1" applyFill="1" applyBorder="1" applyAlignment="1">
      <alignment horizontal="center" vertical="center"/>
    </xf>
    <xf numFmtId="49" fontId="4" fillId="3" borderId="13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5" borderId="1" xfId="0" applyNumberFormat="1" applyFont="1" applyFill="1" applyBorder="1"/>
    <xf numFmtId="4" fontId="14" fillId="0" borderId="13" xfId="0" applyNumberFormat="1" applyFont="1" applyBorder="1"/>
    <xf numFmtId="0" fontId="2" fillId="3" borderId="0" xfId="0" applyFont="1" applyFill="1" applyBorder="1"/>
    <xf numFmtId="4" fontId="2" fillId="3" borderId="0" xfId="0" applyNumberFormat="1" applyFont="1" applyFill="1" applyBorder="1"/>
    <xf numFmtId="0" fontId="3" fillId="2" borderId="2" xfId="0" applyFont="1" applyFill="1" applyBorder="1" applyAlignment="1">
      <alignment wrapText="1"/>
    </xf>
    <xf numFmtId="0" fontId="5" fillId="0" borderId="0" xfId="0" applyFont="1" applyFill="1"/>
    <xf numFmtId="0" fontId="4" fillId="0" borderId="13" xfId="0" applyFont="1" applyFill="1" applyBorder="1" applyAlignment="1">
      <alignment horizontal="center" vertical="center"/>
    </xf>
    <xf numFmtId="4" fontId="8" fillId="0" borderId="1" xfId="0" applyNumberFormat="1" applyFont="1" applyFill="1" applyBorder="1"/>
    <xf numFmtId="4" fontId="5" fillId="0" borderId="1" xfId="0" applyNumberFormat="1" applyFont="1" applyFill="1" applyBorder="1"/>
    <xf numFmtId="4" fontId="5" fillId="0" borderId="0" xfId="0" applyNumberFormat="1" applyFont="1" applyFill="1"/>
    <xf numFmtId="0" fontId="8" fillId="3" borderId="1" xfId="0" applyFont="1" applyFill="1" applyBorder="1" applyAlignment="1">
      <alignment wrapText="1"/>
    </xf>
    <xf numFmtId="0" fontId="8" fillId="0" borderId="0" xfId="0" applyFont="1"/>
    <xf numFmtId="4" fontId="1" fillId="0" borderId="14" xfId="0" applyNumberFormat="1" applyFont="1" applyFill="1" applyBorder="1" applyAlignment="1">
      <alignment horizontal="center" vertical="center" wrapText="1"/>
    </xf>
    <xf numFmtId="4" fontId="0" fillId="0" borderId="16" xfId="0" applyNumberFormat="1" applyFill="1" applyBorder="1" applyAlignment="1">
      <alignment horizontal="center" wrapText="1"/>
    </xf>
    <xf numFmtId="0" fontId="5" fillId="3" borderId="0" xfId="0" applyFont="1" applyFill="1" applyAlignment="1">
      <alignment horizontal="right" wrapText="1"/>
    </xf>
    <xf numFmtId="0" fontId="0" fillId="0" borderId="0" xfId="0" applyAlignment="1">
      <alignment wrapText="1"/>
    </xf>
    <xf numFmtId="0" fontId="10" fillId="3" borderId="0" xfId="0" applyFont="1" applyFill="1" applyAlignment="1">
      <alignment horizontal="center" wrapText="1"/>
    </xf>
    <xf numFmtId="0" fontId="5" fillId="3" borderId="0" xfId="0" applyFont="1" applyFill="1" applyBorder="1" applyAlignment="1">
      <alignment horizontal="right" wrapText="1"/>
    </xf>
    <xf numFmtId="0" fontId="0" fillId="0" borderId="0" xfId="0" applyBorder="1" applyAlignment="1">
      <alignment wrapText="1"/>
    </xf>
    <xf numFmtId="0" fontId="5" fillId="0" borderId="17" xfId="0" applyFont="1" applyBorder="1" applyAlignment="1">
      <alignment wrapText="1"/>
    </xf>
    <xf numFmtId="0" fontId="5" fillId="0" borderId="13" xfId="0" applyFont="1" applyBorder="1" applyAlignment="1">
      <alignment wrapText="1"/>
    </xf>
    <xf numFmtId="4" fontId="1" fillId="0" borderId="11" xfId="0" applyNumberFormat="1" applyFont="1" applyFill="1" applyBorder="1" applyAlignment="1">
      <alignment horizontal="center" vertical="center" wrapText="1"/>
    </xf>
    <xf numFmtId="4" fontId="0" fillId="0" borderId="12" xfId="0" applyNumberFormat="1" applyFill="1" applyBorder="1" applyAlignment="1">
      <alignment horizontal="center" wrapText="1"/>
    </xf>
    <xf numFmtId="4" fontId="4" fillId="3" borderId="14" xfId="0" applyNumberFormat="1" applyFont="1" applyFill="1" applyBorder="1" applyAlignment="1">
      <alignment horizontal="center" vertical="center" wrapText="1"/>
    </xf>
    <xf numFmtId="4" fontId="19" fillId="3" borderId="16" xfId="0" applyNumberFormat="1" applyFont="1" applyFill="1" applyBorder="1" applyAlignment="1">
      <alignment horizontal="center" wrapText="1"/>
    </xf>
    <xf numFmtId="4" fontId="16" fillId="3" borderId="11" xfId="0" applyNumberFormat="1" applyFont="1" applyFill="1" applyBorder="1" applyAlignment="1">
      <alignment horizontal="center" vertical="center" wrapText="1"/>
    </xf>
    <xf numFmtId="4" fontId="15" fillId="3" borderId="12" xfId="0" applyNumberFormat="1" applyFont="1" applyFill="1" applyBorder="1" applyAlignment="1">
      <alignment horizontal="center" wrapText="1"/>
    </xf>
    <xf numFmtId="0" fontId="8" fillId="3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4" fontId="1" fillId="3" borderId="11" xfId="0" applyNumberFormat="1" applyFont="1" applyFill="1" applyBorder="1" applyAlignment="1">
      <alignment horizontal="center" vertical="center" wrapText="1"/>
    </xf>
    <xf numFmtId="4" fontId="0" fillId="3" borderId="12" xfId="0" applyNumberFormat="1" applyFill="1" applyBorder="1" applyAlignment="1">
      <alignment horizontal="center" wrapText="1"/>
    </xf>
    <xf numFmtId="49" fontId="1" fillId="3" borderId="3" xfId="0" applyNumberFormat="1" applyFont="1" applyFill="1" applyBorder="1" applyAlignment="1">
      <alignment horizontal="center" vertical="center" wrapText="1" shrinkToFit="1"/>
    </xf>
    <xf numFmtId="0" fontId="0" fillId="3" borderId="15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wrapText="1"/>
    </xf>
    <xf numFmtId="4" fontId="1" fillId="3" borderId="14" xfId="0" applyNumberFormat="1" applyFont="1" applyFill="1" applyBorder="1" applyAlignment="1">
      <alignment horizontal="center" vertical="center" wrapText="1"/>
    </xf>
    <xf numFmtId="4" fontId="0" fillId="3" borderId="16" xfId="0" applyNumberFormat="1" applyFill="1" applyBorder="1" applyAlignment="1">
      <alignment horizontal="center" wrapText="1"/>
    </xf>
    <xf numFmtId="0" fontId="2" fillId="0" borderId="0" xfId="0" applyFont="1" applyFill="1" applyBorder="1" applyAlignment="1">
      <alignment horizontal="right" wrapText="1"/>
    </xf>
    <xf numFmtId="4" fontId="2" fillId="0" borderId="0" xfId="0" applyNumberFormat="1" applyFont="1" applyFill="1" applyBorder="1" applyAlignment="1">
      <alignment horizontal="right"/>
    </xf>
    <xf numFmtId="0" fontId="5" fillId="0" borderId="0" xfId="0" applyFont="1" applyAlignment="1"/>
    <xf numFmtId="0" fontId="6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right"/>
    </xf>
    <xf numFmtId="49" fontId="1" fillId="2" borderId="1" xfId="0" applyNumberFormat="1" applyFont="1" applyFill="1" applyBorder="1" applyAlignment="1">
      <alignment horizontal="center" vertical="top" shrinkToFit="1"/>
    </xf>
    <xf numFmtId="4" fontId="1" fillId="2" borderId="1" xfId="0" applyNumberFormat="1" applyFont="1" applyFill="1" applyBorder="1" applyAlignment="1" applyProtection="1">
      <alignment horizontal="right" vertical="top" shrinkToFit="1"/>
      <protection locked="0"/>
    </xf>
    <xf numFmtId="49" fontId="2" fillId="2" borderId="1" xfId="0" applyNumberFormat="1" applyFont="1" applyFill="1" applyBorder="1" applyAlignment="1">
      <alignment horizontal="center" vertical="top" shrinkToFit="1"/>
    </xf>
    <xf numFmtId="4" fontId="2" fillId="2" borderId="1" xfId="0" applyNumberFormat="1" applyFont="1" applyFill="1" applyBorder="1" applyAlignment="1" applyProtection="1">
      <alignment horizontal="right" vertical="top" shrinkToFit="1"/>
      <protection locked="0"/>
    </xf>
    <xf numFmtId="49" fontId="5" fillId="3" borderId="1" xfId="0" applyNumberFormat="1" applyFont="1" applyFill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center" vertical="top" shrinkToFit="1"/>
    </xf>
    <xf numFmtId="49" fontId="2" fillId="3" borderId="1" xfId="0" applyNumberFormat="1" applyFont="1" applyFill="1" applyBorder="1" applyAlignment="1">
      <alignment horizontal="center" vertical="top"/>
    </xf>
    <xf numFmtId="4" fontId="2" fillId="3" borderId="1" xfId="0" applyNumberFormat="1" applyFont="1" applyFill="1" applyBorder="1" applyAlignment="1" applyProtection="1">
      <alignment horizontal="right" vertical="top" shrinkToFit="1"/>
      <protection locked="0"/>
    </xf>
    <xf numFmtId="49" fontId="1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  <xf numFmtId="49" fontId="8" fillId="3" borderId="1" xfId="0" applyNumberFormat="1" applyFont="1" applyFill="1" applyBorder="1" applyAlignment="1">
      <alignment horizontal="center" vertical="top"/>
    </xf>
    <xf numFmtId="49" fontId="2" fillId="2" borderId="5" xfId="0" applyNumberFormat="1" applyFont="1" applyFill="1" applyBorder="1" applyAlignment="1">
      <alignment horizontal="center" vertical="top" shrinkToFit="1"/>
    </xf>
    <xf numFmtId="0" fontId="2" fillId="3" borderId="1" xfId="1" applyFont="1" applyFill="1" applyBorder="1" applyAlignment="1">
      <alignment wrapText="1"/>
    </xf>
    <xf numFmtId="0" fontId="20" fillId="2" borderId="1" xfId="0" applyFont="1" applyFill="1" applyBorder="1" applyAlignment="1">
      <alignment horizontal="left" wrapText="1"/>
    </xf>
    <xf numFmtId="0" fontId="1" fillId="2" borderId="18" xfId="0" applyFont="1" applyFill="1" applyBorder="1" applyAlignment="1">
      <alignment horizontal="center" wrapText="1"/>
    </xf>
    <xf numFmtId="0" fontId="1" fillId="2" borderId="19" xfId="0" applyFont="1" applyFill="1" applyBorder="1" applyAlignment="1">
      <alignment horizontal="left" wrapText="1"/>
    </xf>
    <xf numFmtId="0" fontId="8" fillId="3" borderId="1" xfId="0" applyFont="1" applyFill="1" applyBorder="1" applyAlignment="1">
      <alignment horizontal="left" wrapText="1"/>
    </xf>
    <xf numFmtId="0" fontId="1" fillId="3" borderId="1" xfId="1" applyFont="1" applyFill="1" applyBorder="1" applyAlignment="1">
      <alignment wrapText="1"/>
    </xf>
    <xf numFmtId="0" fontId="8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7" fillId="3" borderId="1" xfId="0" applyFont="1" applyFill="1" applyBorder="1" applyAlignment="1">
      <alignment horizontal="center"/>
    </xf>
  </cellXfs>
  <cellStyles count="2">
    <cellStyle name="Обычный" xfId="0" builtinId="0"/>
    <cellStyle name="Обычный 11" xfId="1"/>
  </cellStyles>
  <dxfs count="0"/>
  <tableStyles count="0" defaultTableStyle="TableStyleMedium9" defaultPivotStyle="PivotStyleLight16"/>
  <colors>
    <mruColors>
      <color rgb="FFCCFFFF"/>
      <color rgb="FFCCFF99"/>
      <color rgb="FFFF9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12"/>
  <sheetViews>
    <sheetView tabSelected="1" view="pageLayout" topLeftCell="A538" zoomScaleNormal="80" workbookViewId="0">
      <selection activeCell="A492" sqref="A492"/>
    </sheetView>
  </sheetViews>
  <sheetFormatPr defaultRowHeight="15.75" x14ac:dyDescent="0.25"/>
  <cols>
    <col min="1" max="1" width="93.5703125" style="27" customWidth="1"/>
    <col min="2" max="3" width="5.28515625" style="27" customWidth="1"/>
    <col min="4" max="4" width="4.85546875" style="27" customWidth="1"/>
    <col min="5" max="5" width="9.7109375" style="27" customWidth="1"/>
    <col min="6" max="6" width="5.5703125" style="27" customWidth="1"/>
    <col min="7" max="7" width="15" style="48" hidden="1" customWidth="1"/>
    <col min="8" max="8" width="9.85546875" style="51" hidden="1" customWidth="1"/>
    <col min="9" max="9" width="14.7109375" style="48" hidden="1" customWidth="1"/>
    <col min="10" max="10" width="11" style="51" hidden="1" customWidth="1"/>
    <col min="11" max="11" width="17.85546875" style="48" hidden="1" customWidth="1"/>
    <col min="12" max="12" width="10.140625" style="26" hidden="1" customWidth="1"/>
    <col min="13" max="13" width="17.85546875" style="48" hidden="1" customWidth="1"/>
    <col min="14" max="14" width="10.85546875" style="26" hidden="1" customWidth="1"/>
    <col min="15" max="15" width="15.5703125" style="67" hidden="1" customWidth="1"/>
    <col min="16" max="16" width="10.5703125" style="26" hidden="1" customWidth="1"/>
    <col min="17" max="17" width="14.28515625" style="67" customWidth="1"/>
    <col min="18" max="16384" width="9.140625" style="26"/>
  </cols>
  <sheetData>
    <row r="1" spans="1:17" x14ac:dyDescent="0.25">
      <c r="A1" s="72" t="s">
        <v>617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</row>
    <row r="2" spans="1:17" x14ac:dyDescent="0.25">
      <c r="A2" s="72" t="s">
        <v>0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</row>
    <row r="3" spans="1:17" x14ac:dyDescent="0.25">
      <c r="A3" s="72" t="s">
        <v>125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</row>
    <row r="4" spans="1:17" x14ac:dyDescent="0.25">
      <c r="A4" s="72" t="s">
        <v>621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</row>
    <row r="5" spans="1:17" ht="4.5" customHeight="1" x14ac:dyDescent="0.25">
      <c r="A5" s="72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</row>
    <row r="6" spans="1:17" x14ac:dyDescent="0.25">
      <c r="A6" s="72" t="s">
        <v>336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</row>
    <row r="7" spans="1:17" x14ac:dyDescent="0.25">
      <c r="A7" s="72" t="s">
        <v>0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</row>
    <row r="8" spans="1:17" x14ac:dyDescent="0.25">
      <c r="A8" s="72" t="s">
        <v>125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</row>
    <row r="9" spans="1:17" x14ac:dyDescent="0.25">
      <c r="A9" s="72" t="s">
        <v>632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</row>
    <row r="10" spans="1:17" ht="5.25" customHeight="1" x14ac:dyDescent="0.25">
      <c r="A10" s="72"/>
      <c r="B10" s="72"/>
      <c r="C10" s="72"/>
      <c r="D10" s="72"/>
      <c r="E10" s="72"/>
      <c r="F10" s="72"/>
      <c r="G10" s="72"/>
      <c r="I10" s="26"/>
      <c r="K10" s="27"/>
      <c r="M10" s="27"/>
      <c r="O10" s="63"/>
      <c r="Q10" s="63"/>
    </row>
    <row r="11" spans="1:17" ht="36.75" customHeight="1" x14ac:dyDescent="0.3">
      <c r="A11" s="74" t="s">
        <v>565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</row>
    <row r="12" spans="1:17" ht="16.5" thickBot="1" x14ac:dyDescent="0.3">
      <c r="A12" s="75" t="s">
        <v>1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3"/>
      <c r="Q12" s="73"/>
    </row>
    <row r="13" spans="1:17" ht="15.75" customHeight="1" x14ac:dyDescent="0.25">
      <c r="A13" s="89" t="s">
        <v>4</v>
      </c>
      <c r="B13" s="91" t="s">
        <v>9</v>
      </c>
      <c r="C13" s="91" t="s">
        <v>10</v>
      </c>
      <c r="D13" s="91" t="s">
        <v>11</v>
      </c>
      <c r="E13" s="91" t="s">
        <v>12</v>
      </c>
      <c r="F13" s="91" t="s">
        <v>13</v>
      </c>
      <c r="G13" s="87" t="s">
        <v>2</v>
      </c>
      <c r="H13" s="83" t="s">
        <v>445</v>
      </c>
      <c r="I13" s="87" t="s">
        <v>2</v>
      </c>
      <c r="J13" s="83" t="s">
        <v>446</v>
      </c>
      <c r="K13" s="93" t="s">
        <v>2</v>
      </c>
      <c r="L13" s="81" t="s">
        <v>458</v>
      </c>
      <c r="M13" s="93" t="s">
        <v>2</v>
      </c>
      <c r="N13" s="81" t="s">
        <v>458</v>
      </c>
      <c r="O13" s="79" t="s">
        <v>2</v>
      </c>
      <c r="P13" s="77" t="s">
        <v>458</v>
      </c>
      <c r="Q13" s="70" t="s">
        <v>2</v>
      </c>
    </row>
    <row r="14" spans="1:17" ht="16.5" thickBot="1" x14ac:dyDescent="0.3">
      <c r="A14" s="90"/>
      <c r="B14" s="92"/>
      <c r="C14" s="92"/>
      <c r="D14" s="92"/>
      <c r="E14" s="92"/>
      <c r="F14" s="92"/>
      <c r="G14" s="88"/>
      <c r="H14" s="84"/>
      <c r="I14" s="88"/>
      <c r="J14" s="84"/>
      <c r="K14" s="94"/>
      <c r="L14" s="82"/>
      <c r="M14" s="94"/>
      <c r="N14" s="82"/>
      <c r="O14" s="80"/>
      <c r="P14" s="78"/>
      <c r="Q14" s="71"/>
    </row>
    <row r="15" spans="1:17" ht="9.75" customHeight="1" x14ac:dyDescent="0.25">
      <c r="A15" s="54">
        <v>1</v>
      </c>
      <c r="B15" s="55">
        <v>2</v>
      </c>
      <c r="C15" s="54">
        <v>3</v>
      </c>
      <c r="D15" s="54">
        <v>4</v>
      </c>
      <c r="E15" s="54">
        <v>5</v>
      </c>
      <c r="F15" s="54">
        <v>6</v>
      </c>
      <c r="G15" s="54">
        <v>7</v>
      </c>
      <c r="I15" s="54">
        <v>7</v>
      </c>
      <c r="K15" s="54">
        <v>7</v>
      </c>
      <c r="M15" s="54">
        <v>7</v>
      </c>
      <c r="O15" s="64">
        <v>7</v>
      </c>
      <c r="Q15" s="64">
        <v>7</v>
      </c>
    </row>
    <row r="16" spans="1:17" ht="18" customHeight="1" x14ac:dyDescent="0.25">
      <c r="A16" s="116" t="s">
        <v>204</v>
      </c>
      <c r="B16" s="31" t="s">
        <v>6</v>
      </c>
      <c r="C16" s="31"/>
      <c r="D16" s="31"/>
      <c r="E16" s="31"/>
      <c r="F16" s="31"/>
      <c r="G16" s="40" t="e">
        <f>G17+G60+G67+G75+G90+G113+G133+G137+G152</f>
        <v>#REF!</v>
      </c>
      <c r="I16" s="40" t="e">
        <f>I17+I60+I67+I75+I90+I113+I133+I137+I152</f>
        <v>#REF!</v>
      </c>
      <c r="K16" s="40" t="e">
        <f>K17+K60+K67+K75+K90+K113+K133+K137+K152+K79</f>
        <v>#REF!</v>
      </c>
      <c r="L16" s="51"/>
      <c r="M16" s="58">
        <f>M17+M60+M67+M75+M90+M113+M133+M137+M152+M79</f>
        <v>61195.219999999994</v>
      </c>
      <c r="N16" s="51"/>
      <c r="O16" s="65">
        <f>O17+O60+O67+O75+O90+O113+O133+O137+O152+O79</f>
        <v>62838.69999999999</v>
      </c>
      <c r="Q16" s="65">
        <f>Q17+Q60+Q67+Q75+Q90+Q113+Q133+Q137+Q152+Q79</f>
        <v>76196.689999999988</v>
      </c>
    </row>
    <row r="17" spans="1:17" x14ac:dyDescent="0.25">
      <c r="A17" s="32" t="s">
        <v>14</v>
      </c>
      <c r="B17" s="31"/>
      <c r="C17" s="31" t="s">
        <v>15</v>
      </c>
      <c r="D17" s="31"/>
      <c r="E17" s="31"/>
      <c r="F17" s="31"/>
      <c r="G17" s="40">
        <f>G18+G30+G37</f>
        <v>36501.300000000003</v>
      </c>
      <c r="I17" s="40">
        <f>I18+I30+I37</f>
        <v>36452.089999999997</v>
      </c>
      <c r="K17" s="40">
        <f>K18+K30+K37</f>
        <v>36012.089999999997</v>
      </c>
      <c r="L17" s="51"/>
      <c r="M17" s="40">
        <f>M18+M30+M37</f>
        <v>33322.300000000003</v>
      </c>
      <c r="N17" s="51"/>
      <c r="O17" s="65">
        <f>O18+O30+O37</f>
        <v>33234.22</v>
      </c>
      <c r="Q17" s="65">
        <f>Q18+Q30+Q37</f>
        <v>33234.22</v>
      </c>
    </row>
    <row r="18" spans="1:17" ht="30" customHeight="1" x14ac:dyDescent="0.25">
      <c r="A18" s="33" t="s">
        <v>201</v>
      </c>
      <c r="B18" s="31"/>
      <c r="C18" s="31" t="s">
        <v>15</v>
      </c>
      <c r="D18" s="31" t="s">
        <v>24</v>
      </c>
      <c r="E18" s="31"/>
      <c r="F18" s="31"/>
      <c r="G18" s="40">
        <f>G19+G27</f>
        <v>26694</v>
      </c>
      <c r="I18" s="40">
        <f>I19+I27</f>
        <v>26694</v>
      </c>
      <c r="K18" s="40">
        <f>K19+K27</f>
        <v>26694</v>
      </c>
      <c r="L18" s="51"/>
      <c r="M18" s="40">
        <f>M19+M27</f>
        <v>27490.3</v>
      </c>
      <c r="N18" s="51"/>
      <c r="O18" s="65">
        <f>O19+O27</f>
        <v>27490.3</v>
      </c>
      <c r="Q18" s="65">
        <f>Q19+Q27</f>
        <v>27490.3</v>
      </c>
    </row>
    <row r="19" spans="1:17" ht="30.75" customHeight="1" x14ac:dyDescent="0.25">
      <c r="A19" s="17" t="s">
        <v>202</v>
      </c>
      <c r="B19" s="34"/>
      <c r="C19" s="34" t="s">
        <v>15</v>
      </c>
      <c r="D19" s="34" t="s">
        <v>24</v>
      </c>
      <c r="E19" s="34" t="s">
        <v>21</v>
      </c>
      <c r="F19" s="34"/>
      <c r="G19" s="39">
        <f>G20</f>
        <v>26694</v>
      </c>
      <c r="I19" s="39">
        <f>I20</f>
        <v>26694</v>
      </c>
      <c r="K19" s="39">
        <f>K20</f>
        <v>26694</v>
      </c>
      <c r="L19" s="51"/>
      <c r="M19" s="39">
        <f>M20</f>
        <v>27490.3</v>
      </c>
      <c r="N19" s="51"/>
      <c r="O19" s="66">
        <f>O20</f>
        <v>27490.3</v>
      </c>
      <c r="Q19" s="66">
        <f>Q20</f>
        <v>27490.3</v>
      </c>
    </row>
    <row r="20" spans="1:17" x14ac:dyDescent="0.25">
      <c r="A20" s="35" t="s">
        <v>22</v>
      </c>
      <c r="B20" s="34"/>
      <c r="C20" s="34" t="s">
        <v>15</v>
      </c>
      <c r="D20" s="34" t="s">
        <v>24</v>
      </c>
      <c r="E20" s="34" t="s">
        <v>23</v>
      </c>
      <c r="F20" s="34"/>
      <c r="G20" s="39">
        <f>SUM(G21:G26)</f>
        <v>26694</v>
      </c>
      <c r="I20" s="39">
        <f>SUM(I21:I26)</f>
        <v>26694</v>
      </c>
      <c r="K20" s="39">
        <f>SUM(K21:K26)</f>
        <v>26694</v>
      </c>
      <c r="L20" s="51"/>
      <c r="M20" s="39">
        <f>SUM(M21:M26)</f>
        <v>27490.3</v>
      </c>
      <c r="N20" s="51"/>
      <c r="O20" s="66">
        <f>SUM(O21:O26)</f>
        <v>27490.3</v>
      </c>
      <c r="Q20" s="66">
        <f>SUM(Q21:Q26)</f>
        <v>27490.3</v>
      </c>
    </row>
    <row r="21" spans="1:17" x14ac:dyDescent="0.25">
      <c r="A21" s="17" t="s">
        <v>205</v>
      </c>
      <c r="B21" s="34"/>
      <c r="C21" s="34" t="s">
        <v>15</v>
      </c>
      <c r="D21" s="34" t="s">
        <v>24</v>
      </c>
      <c r="E21" s="34" t="s">
        <v>23</v>
      </c>
      <c r="F21" s="34" t="s">
        <v>206</v>
      </c>
      <c r="G21" s="39">
        <f>19589.7+4971.3</f>
        <v>24561</v>
      </c>
      <c r="I21" s="39">
        <f t="shared" ref="I21:I26" si="0">G21+H21</f>
        <v>24561</v>
      </c>
      <c r="K21" s="39">
        <f t="shared" ref="K21:M26" si="1">I21+J21</f>
        <v>24561</v>
      </c>
      <c r="L21" s="51">
        <f>-173.9+230.9+241.6+563.4</f>
        <v>862</v>
      </c>
      <c r="M21" s="39">
        <f t="shared" si="1"/>
        <v>25423</v>
      </c>
      <c r="N21" s="51"/>
      <c r="O21" s="66">
        <f t="shared" ref="O21:Q26" si="2">M21+N21</f>
        <v>25423</v>
      </c>
      <c r="Q21" s="66">
        <f t="shared" si="2"/>
        <v>25423</v>
      </c>
    </row>
    <row r="22" spans="1:17" ht="15" customHeight="1" x14ac:dyDescent="0.25">
      <c r="A22" s="17" t="s">
        <v>207</v>
      </c>
      <c r="B22" s="34"/>
      <c r="C22" s="34" t="s">
        <v>15</v>
      </c>
      <c r="D22" s="34" t="s">
        <v>24</v>
      </c>
      <c r="E22" s="34" t="s">
        <v>23</v>
      </c>
      <c r="F22" s="34" t="s">
        <v>208</v>
      </c>
      <c r="G22" s="39">
        <v>50</v>
      </c>
      <c r="I22" s="39">
        <f t="shared" si="0"/>
        <v>50</v>
      </c>
      <c r="K22" s="39">
        <f t="shared" si="1"/>
        <v>50</v>
      </c>
      <c r="L22" s="51">
        <v>192.2</v>
      </c>
      <c r="M22" s="39">
        <f t="shared" si="1"/>
        <v>242.2</v>
      </c>
      <c r="N22" s="51"/>
      <c r="O22" s="66">
        <f t="shared" si="2"/>
        <v>242.2</v>
      </c>
      <c r="Q22" s="66">
        <f t="shared" si="2"/>
        <v>242.2</v>
      </c>
    </row>
    <row r="23" spans="1:17" ht="17.25" customHeight="1" x14ac:dyDescent="0.25">
      <c r="A23" s="17" t="s">
        <v>209</v>
      </c>
      <c r="B23" s="34"/>
      <c r="C23" s="34" t="s">
        <v>15</v>
      </c>
      <c r="D23" s="34" t="s">
        <v>24</v>
      </c>
      <c r="E23" s="34" t="s">
        <v>23</v>
      </c>
      <c r="F23" s="34" t="s">
        <v>210</v>
      </c>
      <c r="G23" s="39">
        <f>340+15</f>
        <v>355</v>
      </c>
      <c r="I23" s="39">
        <f>G23+H23</f>
        <v>355</v>
      </c>
      <c r="J23" s="51">
        <v>304.8</v>
      </c>
      <c r="K23" s="39">
        <f t="shared" si="1"/>
        <v>659.8</v>
      </c>
      <c r="L23" s="51"/>
      <c r="M23" s="39">
        <f t="shared" si="1"/>
        <v>659.8</v>
      </c>
      <c r="N23" s="51"/>
      <c r="O23" s="66">
        <f t="shared" si="2"/>
        <v>659.8</v>
      </c>
      <c r="Q23" s="66">
        <f t="shared" si="2"/>
        <v>659.8</v>
      </c>
    </row>
    <row r="24" spans="1:17" ht="15" customHeight="1" x14ac:dyDescent="0.25">
      <c r="A24" s="17" t="s">
        <v>225</v>
      </c>
      <c r="B24" s="34"/>
      <c r="C24" s="34" t="s">
        <v>15</v>
      </c>
      <c r="D24" s="34" t="s">
        <v>24</v>
      </c>
      <c r="E24" s="34" t="s">
        <v>23</v>
      </c>
      <c r="F24" s="34" t="s">
        <v>211</v>
      </c>
      <c r="G24" s="39">
        <f>40+150+200+798+100+100+320</f>
        <v>1708</v>
      </c>
      <c r="I24" s="39">
        <f t="shared" si="0"/>
        <v>1708</v>
      </c>
      <c r="J24" s="51">
        <v>-304.8</v>
      </c>
      <c r="K24" s="39">
        <f t="shared" si="1"/>
        <v>1403.2</v>
      </c>
      <c r="L24" s="51">
        <f>-18.3-239.6</f>
        <v>-257.89999999999998</v>
      </c>
      <c r="M24" s="39">
        <f t="shared" si="1"/>
        <v>1145.3000000000002</v>
      </c>
      <c r="N24" s="51"/>
      <c r="O24" s="66">
        <f t="shared" si="2"/>
        <v>1145.3000000000002</v>
      </c>
      <c r="Q24" s="66">
        <f t="shared" si="2"/>
        <v>1145.3000000000002</v>
      </c>
    </row>
    <row r="25" spans="1:17" ht="15" customHeight="1" x14ac:dyDescent="0.25">
      <c r="A25" s="43" t="s">
        <v>319</v>
      </c>
      <c r="B25" s="34"/>
      <c r="C25" s="34" t="s">
        <v>15</v>
      </c>
      <c r="D25" s="34" t="s">
        <v>24</v>
      </c>
      <c r="E25" s="34" t="s">
        <v>23</v>
      </c>
      <c r="F25" s="34" t="s">
        <v>318</v>
      </c>
      <c r="G25" s="39"/>
      <c r="I25" s="39">
        <f t="shared" si="0"/>
        <v>0</v>
      </c>
      <c r="J25" s="51">
        <v>10</v>
      </c>
      <c r="K25" s="39">
        <f t="shared" si="1"/>
        <v>10</v>
      </c>
      <c r="L25" s="51"/>
      <c r="M25" s="39">
        <f t="shared" si="1"/>
        <v>10</v>
      </c>
      <c r="N25" s="51"/>
      <c r="O25" s="66">
        <f t="shared" si="2"/>
        <v>10</v>
      </c>
      <c r="Q25" s="66">
        <f t="shared" si="2"/>
        <v>10</v>
      </c>
    </row>
    <row r="26" spans="1:17" ht="15" customHeight="1" x14ac:dyDescent="0.25">
      <c r="A26" s="43" t="s">
        <v>301</v>
      </c>
      <c r="B26" s="34"/>
      <c r="C26" s="34" t="s">
        <v>15</v>
      </c>
      <c r="D26" s="34" t="s">
        <v>24</v>
      </c>
      <c r="E26" s="34" t="s">
        <v>23</v>
      </c>
      <c r="F26" s="34" t="s">
        <v>300</v>
      </c>
      <c r="G26" s="39">
        <v>20</v>
      </c>
      <c r="I26" s="39">
        <f t="shared" si="0"/>
        <v>20</v>
      </c>
      <c r="J26" s="51">
        <v>-10</v>
      </c>
      <c r="K26" s="39">
        <f t="shared" si="1"/>
        <v>10</v>
      </c>
      <c r="L26" s="51"/>
      <c r="M26" s="39">
        <f t="shared" si="1"/>
        <v>10</v>
      </c>
      <c r="N26" s="51"/>
      <c r="O26" s="66">
        <f t="shared" si="2"/>
        <v>10</v>
      </c>
      <c r="Q26" s="66">
        <f t="shared" si="2"/>
        <v>10</v>
      </c>
    </row>
    <row r="27" spans="1:17" ht="31.5" hidden="1" x14ac:dyDescent="0.25">
      <c r="A27" s="17" t="s">
        <v>158</v>
      </c>
      <c r="B27" s="34"/>
      <c r="C27" s="34" t="s">
        <v>15</v>
      </c>
      <c r="D27" s="34" t="s">
        <v>24</v>
      </c>
      <c r="E27" s="34" t="s">
        <v>159</v>
      </c>
      <c r="F27" s="34"/>
      <c r="G27" s="39">
        <f>G28</f>
        <v>0</v>
      </c>
      <c r="I27" s="39">
        <f>I28</f>
        <v>0</v>
      </c>
      <c r="K27" s="39">
        <f>K28</f>
        <v>0</v>
      </c>
      <c r="L27" s="51"/>
      <c r="M27" s="39">
        <f>M28</f>
        <v>0</v>
      </c>
      <c r="N27" s="51"/>
      <c r="O27" s="66">
        <f>O28</f>
        <v>0</v>
      </c>
      <c r="Q27" s="66">
        <f>Q28</f>
        <v>0</v>
      </c>
    </row>
    <row r="28" spans="1:17" hidden="1" x14ac:dyDescent="0.25">
      <c r="A28" s="17" t="s">
        <v>205</v>
      </c>
      <c r="B28" s="34"/>
      <c r="C28" s="34" t="s">
        <v>15</v>
      </c>
      <c r="D28" s="34" t="s">
        <v>24</v>
      </c>
      <c r="E28" s="34" t="s">
        <v>159</v>
      </c>
      <c r="F28" s="34" t="s">
        <v>206</v>
      </c>
      <c r="G28" s="39"/>
      <c r="I28" s="39">
        <f>G28+H28</f>
        <v>0</v>
      </c>
      <c r="K28" s="39">
        <f>I28+J28</f>
        <v>0</v>
      </c>
      <c r="L28" s="51"/>
      <c r="M28" s="39">
        <f>K28+L28</f>
        <v>0</v>
      </c>
      <c r="N28" s="51"/>
      <c r="O28" s="66">
        <f>M28+N28</f>
        <v>0</v>
      </c>
      <c r="Q28" s="66">
        <f>O28+P28</f>
        <v>0</v>
      </c>
    </row>
    <row r="29" spans="1:17" ht="30.75" hidden="1" customHeight="1" x14ac:dyDescent="0.25">
      <c r="A29" s="17" t="s">
        <v>207</v>
      </c>
      <c r="B29" s="34"/>
      <c r="C29" s="34" t="s">
        <v>15</v>
      </c>
      <c r="D29" s="34" t="s">
        <v>24</v>
      </c>
      <c r="E29" s="34" t="s">
        <v>159</v>
      </c>
      <c r="F29" s="34" t="s">
        <v>208</v>
      </c>
      <c r="G29" s="39">
        <v>0</v>
      </c>
      <c r="I29" s="39">
        <f>G29+H29</f>
        <v>0</v>
      </c>
      <c r="K29" s="39">
        <f>I29+J29</f>
        <v>0</v>
      </c>
      <c r="L29" s="51"/>
      <c r="M29" s="39">
        <f>K29+L29</f>
        <v>0</v>
      </c>
      <c r="N29" s="51"/>
      <c r="O29" s="66">
        <f>M29+N29</f>
        <v>0</v>
      </c>
      <c r="Q29" s="66">
        <f>O29+P29</f>
        <v>0</v>
      </c>
    </row>
    <row r="30" spans="1:17" x14ac:dyDescent="0.25">
      <c r="A30" s="36" t="s">
        <v>26</v>
      </c>
      <c r="B30" s="31"/>
      <c r="C30" s="31" t="s">
        <v>15</v>
      </c>
      <c r="D30" s="31" t="s">
        <v>107</v>
      </c>
      <c r="E30" s="31"/>
      <c r="F30" s="31"/>
      <c r="G30" s="40">
        <f>G32+G33+G35</f>
        <v>1670</v>
      </c>
      <c r="I30" s="40">
        <f>I32+I33+I35</f>
        <v>1670</v>
      </c>
      <c r="K30" s="40">
        <f>K32+K33+K35</f>
        <v>1670</v>
      </c>
      <c r="L30" s="51"/>
      <c r="M30" s="40">
        <f>M32+M33+M35</f>
        <v>1638.45</v>
      </c>
      <c r="N30" s="51"/>
      <c r="O30" s="65">
        <f>O32+O33+O35</f>
        <v>1638.45</v>
      </c>
      <c r="Q30" s="65">
        <f>Q32+Q33+Q35</f>
        <v>1638.45</v>
      </c>
    </row>
    <row r="31" spans="1:17" x14ac:dyDescent="0.25">
      <c r="A31" s="17" t="s">
        <v>138</v>
      </c>
      <c r="B31" s="34"/>
      <c r="C31" s="34" t="s">
        <v>15</v>
      </c>
      <c r="D31" s="34" t="s">
        <v>107</v>
      </c>
      <c r="E31" s="34" t="s">
        <v>371</v>
      </c>
      <c r="F31" s="34"/>
      <c r="G31" s="39">
        <f>G32</f>
        <v>1000</v>
      </c>
      <c r="I31" s="39">
        <f>I32</f>
        <v>1000</v>
      </c>
      <c r="K31" s="39">
        <f>K32</f>
        <v>1000</v>
      </c>
      <c r="L31" s="51"/>
      <c r="M31" s="39">
        <f>M32</f>
        <v>977.45</v>
      </c>
      <c r="N31" s="51"/>
      <c r="O31" s="66">
        <f>O32</f>
        <v>977.45</v>
      </c>
      <c r="Q31" s="66">
        <f>Q32</f>
        <v>977.45</v>
      </c>
    </row>
    <row r="32" spans="1:17" x14ac:dyDescent="0.25">
      <c r="A32" s="17" t="s">
        <v>212</v>
      </c>
      <c r="B32" s="34"/>
      <c r="C32" s="34" t="s">
        <v>15</v>
      </c>
      <c r="D32" s="34" t="s">
        <v>107</v>
      </c>
      <c r="E32" s="34" t="s">
        <v>371</v>
      </c>
      <c r="F32" s="34" t="s">
        <v>213</v>
      </c>
      <c r="G32" s="39">
        <v>1000</v>
      </c>
      <c r="I32" s="39">
        <f>G32+H32</f>
        <v>1000</v>
      </c>
      <c r="K32" s="39">
        <f>I32+J32</f>
        <v>1000</v>
      </c>
      <c r="L32" s="51">
        <v>-22.55</v>
      </c>
      <c r="M32" s="39">
        <f>K32+L32</f>
        <v>977.45</v>
      </c>
      <c r="N32" s="51"/>
      <c r="O32" s="66">
        <f>M32+N32</f>
        <v>977.45</v>
      </c>
      <c r="Q32" s="66">
        <f>O32+P32</f>
        <v>977.45</v>
      </c>
    </row>
    <row r="33" spans="1:17" ht="31.5" x14ac:dyDescent="0.25">
      <c r="A33" s="43" t="s">
        <v>370</v>
      </c>
      <c r="B33" s="34"/>
      <c r="C33" s="34" t="s">
        <v>15</v>
      </c>
      <c r="D33" s="34" t="s">
        <v>107</v>
      </c>
      <c r="E33" s="34" t="s">
        <v>372</v>
      </c>
      <c r="F33" s="34"/>
      <c r="G33" s="39">
        <f>G34</f>
        <v>500</v>
      </c>
      <c r="I33" s="39">
        <f>I34</f>
        <v>500</v>
      </c>
      <c r="K33" s="39">
        <f>K34</f>
        <v>500</v>
      </c>
      <c r="L33" s="51"/>
      <c r="M33" s="39">
        <f>M34</f>
        <v>491</v>
      </c>
      <c r="N33" s="51"/>
      <c r="O33" s="66">
        <f>O34</f>
        <v>491</v>
      </c>
      <c r="Q33" s="66">
        <f>Q34</f>
        <v>491</v>
      </c>
    </row>
    <row r="34" spans="1:17" x14ac:dyDescent="0.25">
      <c r="A34" s="17" t="s">
        <v>212</v>
      </c>
      <c r="B34" s="34"/>
      <c r="C34" s="34" t="s">
        <v>15</v>
      </c>
      <c r="D34" s="34" t="s">
        <v>107</v>
      </c>
      <c r="E34" s="34" t="s">
        <v>372</v>
      </c>
      <c r="F34" s="34" t="s">
        <v>213</v>
      </c>
      <c r="G34" s="39">
        <v>500</v>
      </c>
      <c r="I34" s="39">
        <f>G34+H34</f>
        <v>500</v>
      </c>
      <c r="K34" s="39">
        <f>I34+J34</f>
        <v>500</v>
      </c>
      <c r="L34" s="51">
        <v>-9</v>
      </c>
      <c r="M34" s="39">
        <f>K34+L34</f>
        <v>491</v>
      </c>
      <c r="N34" s="51"/>
      <c r="O34" s="66">
        <f>M34+N34</f>
        <v>491</v>
      </c>
      <c r="Q34" s="66">
        <f>O34+P34</f>
        <v>491</v>
      </c>
    </row>
    <row r="35" spans="1:17" x14ac:dyDescent="0.25">
      <c r="A35" s="12" t="s">
        <v>162</v>
      </c>
      <c r="B35" s="34"/>
      <c r="C35" s="34" t="s">
        <v>15</v>
      </c>
      <c r="D35" s="34" t="s">
        <v>107</v>
      </c>
      <c r="E35" s="34" t="s">
        <v>373</v>
      </c>
      <c r="F35" s="34"/>
      <c r="G35" s="39">
        <f>G36</f>
        <v>170</v>
      </c>
      <c r="I35" s="39">
        <f>I36</f>
        <v>170</v>
      </c>
      <c r="K35" s="39">
        <f>K36</f>
        <v>170</v>
      </c>
      <c r="L35" s="51"/>
      <c r="M35" s="39">
        <f>M36</f>
        <v>170</v>
      </c>
      <c r="N35" s="51"/>
      <c r="O35" s="66">
        <f>O36</f>
        <v>170</v>
      </c>
      <c r="Q35" s="66">
        <f>Q36</f>
        <v>170</v>
      </c>
    </row>
    <row r="36" spans="1:17" x14ac:dyDescent="0.25">
      <c r="A36" s="17" t="s">
        <v>212</v>
      </c>
      <c r="B36" s="34"/>
      <c r="C36" s="34" t="s">
        <v>15</v>
      </c>
      <c r="D36" s="34" t="s">
        <v>107</v>
      </c>
      <c r="E36" s="34" t="s">
        <v>374</v>
      </c>
      <c r="F36" s="34" t="s">
        <v>213</v>
      </c>
      <c r="G36" s="39">
        <v>170</v>
      </c>
      <c r="I36" s="39">
        <f>G36+H36</f>
        <v>170</v>
      </c>
      <c r="K36" s="39">
        <f>I36+J36</f>
        <v>170</v>
      </c>
      <c r="L36" s="51"/>
      <c r="M36" s="39">
        <f>K36+L36</f>
        <v>170</v>
      </c>
      <c r="N36" s="51"/>
      <c r="O36" s="66">
        <f>M36+N36</f>
        <v>170</v>
      </c>
      <c r="Q36" s="66">
        <f>O36+P36</f>
        <v>170</v>
      </c>
    </row>
    <row r="37" spans="1:17" x14ac:dyDescent="0.25">
      <c r="A37" s="36" t="s">
        <v>29</v>
      </c>
      <c r="B37" s="31"/>
      <c r="C37" s="31" t="s">
        <v>15</v>
      </c>
      <c r="D37" s="31" t="s">
        <v>186</v>
      </c>
      <c r="E37" s="31"/>
      <c r="F37" s="31"/>
      <c r="G37" s="40">
        <f>G38+G43+G46+G52+G54+G56+G58</f>
        <v>8137.3</v>
      </c>
      <c r="I37" s="40">
        <f>I38+I43+I46+I52+I54+I56+I58+I49</f>
        <v>8088.09</v>
      </c>
      <c r="K37" s="40">
        <f>K38+K43+K46+K54+K56+K58+K49</f>
        <v>7648.09</v>
      </c>
      <c r="L37" s="51"/>
      <c r="M37" s="40">
        <f>M38+M43+M46+M54+M56+M58+M49</f>
        <v>4193.55</v>
      </c>
      <c r="N37" s="51"/>
      <c r="O37" s="65">
        <f>O38+O43+O46+O54+O56+O58+O49</f>
        <v>4105.47</v>
      </c>
      <c r="Q37" s="65">
        <f>Q38+Q43+Q46+Q54+Q56+Q58+Q49</f>
        <v>4105.47</v>
      </c>
    </row>
    <row r="38" spans="1:17" ht="14.25" customHeight="1" x14ac:dyDescent="0.25">
      <c r="A38" s="43" t="s">
        <v>375</v>
      </c>
      <c r="B38" s="34"/>
      <c r="C38" s="34" t="s">
        <v>15</v>
      </c>
      <c r="D38" s="34" t="s">
        <v>186</v>
      </c>
      <c r="E38" s="34" t="s">
        <v>214</v>
      </c>
      <c r="F38" s="34"/>
      <c r="G38" s="39">
        <f>G39+G41+G42</f>
        <v>602.5</v>
      </c>
      <c r="I38" s="39">
        <f>I39+I41+I42</f>
        <v>602.5</v>
      </c>
      <c r="K38" s="39">
        <f>K39+K41+K42</f>
        <v>602.5</v>
      </c>
      <c r="L38" s="51"/>
      <c r="M38" s="39">
        <f>M39+M41+M42</f>
        <v>602.5</v>
      </c>
      <c r="N38" s="51"/>
      <c r="O38" s="66">
        <f>O39+O41+O42</f>
        <v>602.5</v>
      </c>
      <c r="Q38" s="66">
        <f>Q39+Q41+Q42</f>
        <v>602.5</v>
      </c>
    </row>
    <row r="39" spans="1:17" x14ac:dyDescent="0.25">
      <c r="A39" s="17" t="s">
        <v>205</v>
      </c>
      <c r="B39" s="34"/>
      <c r="C39" s="34" t="s">
        <v>15</v>
      </c>
      <c r="D39" s="34" t="s">
        <v>186</v>
      </c>
      <c r="E39" s="34" t="s">
        <v>214</v>
      </c>
      <c r="F39" s="34" t="s">
        <v>206</v>
      </c>
      <c r="G39" s="39">
        <f>454.4+137.3</f>
        <v>591.70000000000005</v>
      </c>
      <c r="I39" s="39">
        <f>G39+H39</f>
        <v>591.70000000000005</v>
      </c>
      <c r="K39" s="39">
        <f>I39+J39</f>
        <v>591.70000000000005</v>
      </c>
      <c r="L39" s="51"/>
      <c r="M39" s="39">
        <f>K39+L39</f>
        <v>591.70000000000005</v>
      </c>
      <c r="N39" s="51"/>
      <c r="O39" s="66">
        <f>M39+N39</f>
        <v>591.70000000000005</v>
      </c>
      <c r="Q39" s="66">
        <f>O39+P39</f>
        <v>591.70000000000005</v>
      </c>
    </row>
    <row r="40" spans="1:17" ht="31.5" hidden="1" customHeight="1" x14ac:dyDescent="0.25">
      <c r="A40" s="17" t="s">
        <v>207</v>
      </c>
      <c r="B40" s="34"/>
      <c r="C40" s="34" t="s">
        <v>15</v>
      </c>
      <c r="D40" s="34" t="s">
        <v>186</v>
      </c>
      <c r="E40" s="34" t="s">
        <v>214</v>
      </c>
      <c r="F40" s="34" t="s">
        <v>208</v>
      </c>
      <c r="G40" s="39">
        <v>0</v>
      </c>
      <c r="I40" s="39">
        <f>G40+H40</f>
        <v>0</v>
      </c>
      <c r="K40" s="39">
        <f>I40+J40</f>
        <v>0</v>
      </c>
      <c r="L40" s="51"/>
      <c r="M40" s="39">
        <f>K40+L40</f>
        <v>0</v>
      </c>
      <c r="N40" s="51"/>
      <c r="O40" s="66">
        <f>M40+N40</f>
        <v>0</v>
      </c>
      <c r="Q40" s="66">
        <f>O40+P40</f>
        <v>0</v>
      </c>
    </row>
    <row r="41" spans="1:17" ht="16.5" customHeight="1" x14ac:dyDescent="0.25">
      <c r="A41" s="17" t="s">
        <v>209</v>
      </c>
      <c r="B41" s="34"/>
      <c r="C41" s="34" t="s">
        <v>15</v>
      </c>
      <c r="D41" s="34" t="s">
        <v>186</v>
      </c>
      <c r="E41" s="34" t="s">
        <v>214</v>
      </c>
      <c r="F41" s="34" t="s">
        <v>210</v>
      </c>
      <c r="G41" s="39">
        <v>9.8000000000000007</v>
      </c>
      <c r="I41" s="39">
        <f>G41+H41</f>
        <v>9.8000000000000007</v>
      </c>
      <c r="K41" s="39">
        <f>I41+J41</f>
        <v>9.8000000000000007</v>
      </c>
      <c r="L41" s="51"/>
      <c r="M41" s="39">
        <f>K41+L41</f>
        <v>9.8000000000000007</v>
      </c>
      <c r="N41" s="51"/>
      <c r="O41" s="66">
        <f>M41+N41</f>
        <v>9.8000000000000007</v>
      </c>
      <c r="Q41" s="66">
        <f>O41+P41</f>
        <v>9.8000000000000007</v>
      </c>
    </row>
    <row r="42" spans="1:17" x14ac:dyDescent="0.25">
      <c r="A42" s="17" t="s">
        <v>225</v>
      </c>
      <c r="B42" s="34"/>
      <c r="C42" s="34" t="s">
        <v>15</v>
      </c>
      <c r="D42" s="34" t="s">
        <v>186</v>
      </c>
      <c r="E42" s="34" t="s">
        <v>214</v>
      </c>
      <c r="F42" s="34" t="s">
        <v>211</v>
      </c>
      <c r="G42" s="39">
        <v>1</v>
      </c>
      <c r="I42" s="39">
        <f>G42+H42</f>
        <v>1</v>
      </c>
      <c r="K42" s="39">
        <f>I42+J42</f>
        <v>1</v>
      </c>
      <c r="L42" s="51"/>
      <c r="M42" s="39">
        <f>K42+L42</f>
        <v>1</v>
      </c>
      <c r="N42" s="51"/>
      <c r="O42" s="66">
        <f>M42+N42</f>
        <v>1</v>
      </c>
      <c r="Q42" s="66">
        <f>O42+P42</f>
        <v>1</v>
      </c>
    </row>
    <row r="43" spans="1:17" ht="31.5" customHeight="1" x14ac:dyDescent="0.25">
      <c r="A43" s="43" t="s">
        <v>376</v>
      </c>
      <c r="B43" s="34"/>
      <c r="C43" s="34" t="s">
        <v>15</v>
      </c>
      <c r="D43" s="34" t="s">
        <v>186</v>
      </c>
      <c r="E43" s="34" t="s">
        <v>25</v>
      </c>
      <c r="F43" s="34"/>
      <c r="G43" s="39">
        <f>G44+G45</f>
        <v>373.79999999999995</v>
      </c>
      <c r="I43" s="39">
        <f>I44+I45</f>
        <v>373.79999999999995</v>
      </c>
      <c r="K43" s="39">
        <f>K44+K45</f>
        <v>373.79999999999995</v>
      </c>
      <c r="L43" s="51"/>
      <c r="M43" s="39">
        <f>M44+M45</f>
        <v>373.79999999999995</v>
      </c>
      <c r="N43" s="51"/>
      <c r="O43" s="66">
        <f>O44+O45</f>
        <v>373.79999999999995</v>
      </c>
      <c r="Q43" s="66">
        <f>Q44+Q45</f>
        <v>373.79999999999995</v>
      </c>
    </row>
    <row r="44" spans="1:17" x14ac:dyDescent="0.25">
      <c r="A44" s="17" t="s">
        <v>205</v>
      </c>
      <c r="B44" s="34"/>
      <c r="C44" s="34" t="s">
        <v>15</v>
      </c>
      <c r="D44" s="34" t="s">
        <v>186</v>
      </c>
      <c r="E44" s="34" t="s">
        <v>25</v>
      </c>
      <c r="F44" s="34" t="s">
        <v>206</v>
      </c>
      <c r="G44" s="39">
        <f>284.64+85.96</f>
        <v>370.59999999999997</v>
      </c>
      <c r="I44" s="39">
        <f>G44+H44</f>
        <v>370.59999999999997</v>
      </c>
      <c r="K44" s="39">
        <f>I44+J44</f>
        <v>370.59999999999997</v>
      </c>
      <c r="L44" s="51"/>
      <c r="M44" s="39">
        <f>K44+L44</f>
        <v>370.59999999999997</v>
      </c>
      <c r="N44" s="51"/>
      <c r="O44" s="66">
        <f>M44+N44</f>
        <v>370.59999999999997</v>
      </c>
      <c r="Q44" s="66">
        <f>O44+P44</f>
        <v>370.59999999999997</v>
      </c>
    </row>
    <row r="45" spans="1:17" ht="14.25" customHeight="1" x14ac:dyDescent="0.25">
      <c r="A45" s="17" t="s">
        <v>225</v>
      </c>
      <c r="B45" s="34"/>
      <c r="C45" s="34" t="s">
        <v>15</v>
      </c>
      <c r="D45" s="34" t="s">
        <v>186</v>
      </c>
      <c r="E45" s="34" t="s">
        <v>25</v>
      </c>
      <c r="F45" s="34" t="s">
        <v>211</v>
      </c>
      <c r="G45" s="39">
        <f>1.7+1.5</f>
        <v>3.2</v>
      </c>
      <c r="I45" s="39">
        <f>G45+H45</f>
        <v>3.2</v>
      </c>
      <c r="K45" s="39">
        <f>I45+J45</f>
        <v>3.2</v>
      </c>
      <c r="L45" s="51"/>
      <c r="M45" s="39">
        <f>K45+L45</f>
        <v>3.2</v>
      </c>
      <c r="N45" s="51"/>
      <c r="O45" s="66">
        <f>M45+N45</f>
        <v>3.2</v>
      </c>
      <c r="Q45" s="66">
        <f>O45+P45</f>
        <v>3.2</v>
      </c>
    </row>
    <row r="46" spans="1:17" ht="31.5" customHeight="1" x14ac:dyDescent="0.25">
      <c r="A46" s="17" t="s">
        <v>34</v>
      </c>
      <c r="B46" s="34"/>
      <c r="C46" s="34" t="s">
        <v>15</v>
      </c>
      <c r="D46" s="34" t="s">
        <v>186</v>
      </c>
      <c r="E46" s="34" t="s">
        <v>215</v>
      </c>
      <c r="F46" s="34"/>
      <c r="G46" s="39">
        <f>G48+G51</f>
        <v>600</v>
      </c>
      <c r="I46" s="39">
        <f>I48</f>
        <v>100</v>
      </c>
      <c r="K46" s="39">
        <f>K48</f>
        <v>100</v>
      </c>
      <c r="L46" s="51"/>
      <c r="M46" s="39">
        <f>M48</f>
        <v>100</v>
      </c>
      <c r="N46" s="51"/>
      <c r="O46" s="66">
        <f>O48</f>
        <v>100</v>
      </c>
      <c r="Q46" s="66">
        <f>Q48</f>
        <v>100</v>
      </c>
    </row>
    <row r="47" spans="1:17" ht="20.25" hidden="1" customHeight="1" x14ac:dyDescent="0.25">
      <c r="L47" s="51"/>
      <c r="N47" s="51"/>
    </row>
    <row r="48" spans="1:17" ht="15" customHeight="1" x14ac:dyDescent="0.25">
      <c r="A48" s="17" t="s">
        <v>225</v>
      </c>
      <c r="B48" s="34"/>
      <c r="C48" s="34" t="s">
        <v>15</v>
      </c>
      <c r="D48" s="34" t="s">
        <v>186</v>
      </c>
      <c r="E48" s="34" t="s">
        <v>215</v>
      </c>
      <c r="F48" s="34" t="s">
        <v>211</v>
      </c>
      <c r="G48" s="39">
        <v>100</v>
      </c>
      <c r="I48" s="39">
        <f>G48+H48</f>
        <v>100</v>
      </c>
      <c r="K48" s="39">
        <f>I48+J48</f>
        <v>100</v>
      </c>
      <c r="L48" s="51"/>
      <c r="M48" s="39">
        <f>K48+L48</f>
        <v>100</v>
      </c>
      <c r="N48" s="51"/>
      <c r="O48" s="66">
        <f>M48+N48</f>
        <v>100</v>
      </c>
      <c r="Q48" s="66">
        <f>O48+P48</f>
        <v>100</v>
      </c>
    </row>
    <row r="49" spans="1:17" ht="15.75" customHeight="1" x14ac:dyDescent="0.25">
      <c r="A49" s="17" t="s">
        <v>36</v>
      </c>
      <c r="B49" s="34"/>
      <c r="C49" s="34" t="s">
        <v>15</v>
      </c>
      <c r="D49" s="34" t="s">
        <v>186</v>
      </c>
      <c r="E49" s="34" t="s">
        <v>298</v>
      </c>
      <c r="F49" s="34"/>
      <c r="G49" s="39"/>
      <c r="I49" s="39">
        <f>I50</f>
        <v>500</v>
      </c>
      <c r="K49" s="39">
        <f>K50+K52</f>
        <v>6450.79</v>
      </c>
      <c r="L49" s="51"/>
      <c r="M49" s="39">
        <f>M50+M52</f>
        <v>2996.25</v>
      </c>
      <c r="N49" s="51"/>
      <c r="O49" s="66">
        <f>O50+O52</f>
        <v>2908.17</v>
      </c>
      <c r="Q49" s="66">
        <f>Q50+Q52</f>
        <v>2908.17</v>
      </c>
    </row>
    <row r="50" spans="1:17" ht="16.5" customHeight="1" x14ac:dyDescent="0.25">
      <c r="A50" s="17" t="s">
        <v>442</v>
      </c>
      <c r="B50" s="34"/>
      <c r="C50" s="34" t="s">
        <v>15</v>
      </c>
      <c r="D50" s="34" t="s">
        <v>186</v>
      </c>
      <c r="E50" s="34" t="s">
        <v>447</v>
      </c>
      <c r="F50" s="34"/>
      <c r="G50" s="39">
        <f>G51</f>
        <v>500</v>
      </c>
      <c r="I50" s="39">
        <f>I51</f>
        <v>500</v>
      </c>
      <c r="K50" s="39">
        <f>K51</f>
        <v>500</v>
      </c>
      <c r="L50" s="51"/>
      <c r="M50" s="39">
        <f>M51</f>
        <v>0</v>
      </c>
      <c r="N50" s="51"/>
      <c r="O50" s="66">
        <f>O51</f>
        <v>0</v>
      </c>
      <c r="Q50" s="66">
        <f>Q51</f>
        <v>0</v>
      </c>
    </row>
    <row r="51" spans="1:17" ht="15" customHeight="1" x14ac:dyDescent="0.25">
      <c r="A51" s="17" t="s">
        <v>225</v>
      </c>
      <c r="B51" s="34"/>
      <c r="C51" s="34" t="s">
        <v>15</v>
      </c>
      <c r="D51" s="34" t="s">
        <v>186</v>
      </c>
      <c r="E51" s="34" t="s">
        <v>447</v>
      </c>
      <c r="F51" s="34" t="s">
        <v>211</v>
      </c>
      <c r="G51" s="39">
        <v>500</v>
      </c>
      <c r="I51" s="39">
        <f>G51+H51</f>
        <v>500</v>
      </c>
      <c r="K51" s="39">
        <f>I51+J51</f>
        <v>500</v>
      </c>
      <c r="L51" s="51">
        <v>-500</v>
      </c>
      <c r="M51" s="39">
        <f>K51+L51</f>
        <v>0</v>
      </c>
      <c r="N51" s="51"/>
      <c r="O51" s="66">
        <f>M51+N51</f>
        <v>0</v>
      </c>
      <c r="Q51" s="66">
        <f>O51+P51</f>
        <v>0</v>
      </c>
    </row>
    <row r="52" spans="1:17" x14ac:dyDescent="0.25">
      <c r="A52" s="43" t="s">
        <v>377</v>
      </c>
      <c r="B52" s="34"/>
      <c r="C52" s="34" t="s">
        <v>15</v>
      </c>
      <c r="D52" s="34" t="s">
        <v>186</v>
      </c>
      <c r="E52" s="34" t="s">
        <v>216</v>
      </c>
      <c r="F52" s="34"/>
      <c r="G52" s="39">
        <f>G53</f>
        <v>6000</v>
      </c>
      <c r="I52" s="39">
        <f>I53</f>
        <v>5950.79</v>
      </c>
      <c r="K52" s="39">
        <f>K53</f>
        <v>5950.79</v>
      </c>
      <c r="L52" s="51"/>
      <c r="M52" s="39">
        <f>M53</f>
        <v>2996.25</v>
      </c>
      <c r="N52" s="51"/>
      <c r="O52" s="66">
        <f>O53</f>
        <v>2908.17</v>
      </c>
      <c r="Q52" s="66">
        <f>Q53</f>
        <v>2908.17</v>
      </c>
    </row>
    <row r="53" spans="1:17" ht="65.25" customHeight="1" x14ac:dyDescent="0.25">
      <c r="A53" s="17" t="s">
        <v>241</v>
      </c>
      <c r="B53" s="34"/>
      <c r="C53" s="34" t="s">
        <v>15</v>
      </c>
      <c r="D53" s="34" t="s">
        <v>186</v>
      </c>
      <c r="E53" s="34" t="s">
        <v>216</v>
      </c>
      <c r="F53" s="34" t="s">
        <v>240</v>
      </c>
      <c r="G53" s="39">
        <f>6000+3000-3000</f>
        <v>6000</v>
      </c>
      <c r="H53" s="51">
        <v>-49.21</v>
      </c>
      <c r="I53" s="39">
        <f>G53+H53</f>
        <v>5950.79</v>
      </c>
      <c r="K53" s="39">
        <f>I53+J53</f>
        <v>5950.79</v>
      </c>
      <c r="L53" s="51">
        <f>-2771.14-153.4-30</f>
        <v>-2954.54</v>
      </c>
      <c r="M53" s="39">
        <f>K53+L53</f>
        <v>2996.25</v>
      </c>
      <c r="N53" s="51">
        <v>-88.08</v>
      </c>
      <c r="O53" s="66">
        <f>M53+N53</f>
        <v>2908.17</v>
      </c>
      <c r="Q53" s="66">
        <f>O53+P53</f>
        <v>2908.17</v>
      </c>
    </row>
    <row r="54" spans="1:17" ht="17.25" customHeight="1" x14ac:dyDescent="0.25">
      <c r="A54" s="17" t="s">
        <v>361</v>
      </c>
      <c r="B54" s="34"/>
      <c r="C54" s="34" t="s">
        <v>15</v>
      </c>
      <c r="D54" s="34" t="s">
        <v>186</v>
      </c>
      <c r="E54" s="34" t="s">
        <v>217</v>
      </c>
      <c r="F54" s="34"/>
      <c r="G54" s="39">
        <f>G55</f>
        <v>121</v>
      </c>
      <c r="I54" s="39">
        <f>I55</f>
        <v>121</v>
      </c>
      <c r="K54" s="39">
        <f>K55</f>
        <v>121</v>
      </c>
      <c r="L54" s="51"/>
      <c r="M54" s="39">
        <f>M55</f>
        <v>121</v>
      </c>
      <c r="N54" s="51"/>
      <c r="O54" s="66">
        <f>O55</f>
        <v>121</v>
      </c>
      <c r="Q54" s="66">
        <f>Q55</f>
        <v>121</v>
      </c>
    </row>
    <row r="55" spans="1:17" ht="16.5" customHeight="1" x14ac:dyDescent="0.25">
      <c r="A55" s="17" t="s">
        <v>209</v>
      </c>
      <c r="B55" s="34"/>
      <c r="C55" s="34" t="s">
        <v>15</v>
      </c>
      <c r="D55" s="34" t="s">
        <v>186</v>
      </c>
      <c r="E55" s="34" t="s">
        <v>217</v>
      </c>
      <c r="F55" s="34" t="s">
        <v>210</v>
      </c>
      <c r="G55" s="39">
        <v>121</v>
      </c>
      <c r="I55" s="39">
        <f>G55+H55</f>
        <v>121</v>
      </c>
      <c r="K55" s="39">
        <f>I55+J55</f>
        <v>121</v>
      </c>
      <c r="L55" s="51"/>
      <c r="M55" s="39">
        <f>K55+L55</f>
        <v>121</v>
      </c>
      <c r="N55" s="51"/>
      <c r="O55" s="66">
        <f>M55+N55</f>
        <v>121</v>
      </c>
      <c r="Q55" s="66">
        <f>O55+P55</f>
        <v>121</v>
      </c>
    </row>
    <row r="56" spans="1:17" ht="30.75" hidden="1" customHeight="1" x14ac:dyDescent="0.25">
      <c r="A56" s="17" t="s">
        <v>423</v>
      </c>
      <c r="B56" s="34"/>
      <c r="C56" s="34" t="s">
        <v>15</v>
      </c>
      <c r="D56" s="34" t="s">
        <v>186</v>
      </c>
      <c r="E56" s="34" t="s">
        <v>422</v>
      </c>
      <c r="F56" s="34"/>
      <c r="G56" s="39">
        <f>G57</f>
        <v>140</v>
      </c>
      <c r="I56" s="39">
        <f>I57</f>
        <v>140</v>
      </c>
      <c r="K56" s="39">
        <f>K57</f>
        <v>0</v>
      </c>
      <c r="L56" s="51"/>
      <c r="M56" s="39">
        <f>M57</f>
        <v>0</v>
      </c>
      <c r="N56" s="51"/>
      <c r="O56" s="66">
        <f>O57</f>
        <v>0</v>
      </c>
      <c r="Q56" s="66">
        <f>Q57</f>
        <v>0</v>
      </c>
    </row>
    <row r="57" spans="1:17" ht="25.5" hidden="1" customHeight="1" x14ac:dyDescent="0.25">
      <c r="A57" s="17" t="s">
        <v>225</v>
      </c>
      <c r="B57" s="34"/>
      <c r="C57" s="34" t="s">
        <v>15</v>
      </c>
      <c r="D57" s="34" t="s">
        <v>186</v>
      </c>
      <c r="E57" s="34" t="s">
        <v>422</v>
      </c>
      <c r="F57" s="34" t="s">
        <v>211</v>
      </c>
      <c r="G57" s="39">
        <v>140</v>
      </c>
      <c r="I57" s="39">
        <f>G57+H57</f>
        <v>140</v>
      </c>
      <c r="J57" s="51">
        <v>-140</v>
      </c>
      <c r="K57" s="39">
        <f>I57+J57</f>
        <v>0</v>
      </c>
      <c r="L57" s="51"/>
      <c r="M57" s="39">
        <f>K57+L57</f>
        <v>0</v>
      </c>
      <c r="N57" s="51"/>
      <c r="O57" s="66">
        <f>M57+N57</f>
        <v>0</v>
      </c>
      <c r="Q57" s="66">
        <f>O57+P57</f>
        <v>0</v>
      </c>
    </row>
    <row r="58" spans="1:17" ht="30.75" hidden="1" customHeight="1" x14ac:dyDescent="0.25">
      <c r="A58" s="17" t="s">
        <v>308</v>
      </c>
      <c r="B58" s="34"/>
      <c r="C58" s="34" t="s">
        <v>15</v>
      </c>
      <c r="D58" s="34" t="s">
        <v>186</v>
      </c>
      <c r="E58" s="34" t="s">
        <v>307</v>
      </c>
      <c r="F58" s="34"/>
      <c r="G58" s="39">
        <f>G59</f>
        <v>300</v>
      </c>
      <c r="I58" s="39">
        <f>I59</f>
        <v>300</v>
      </c>
      <c r="K58" s="39">
        <f>K59</f>
        <v>0</v>
      </c>
      <c r="L58" s="51"/>
      <c r="M58" s="39">
        <f>M59</f>
        <v>0</v>
      </c>
      <c r="N58" s="51"/>
      <c r="O58" s="66">
        <f>O59</f>
        <v>0</v>
      </c>
      <c r="Q58" s="66">
        <f>Q59</f>
        <v>0</v>
      </c>
    </row>
    <row r="59" spans="1:17" ht="25.5" hidden="1" customHeight="1" x14ac:dyDescent="0.25">
      <c r="A59" s="17" t="s">
        <v>225</v>
      </c>
      <c r="B59" s="34"/>
      <c r="C59" s="34" t="s">
        <v>15</v>
      </c>
      <c r="D59" s="34" t="s">
        <v>186</v>
      </c>
      <c r="E59" s="34" t="s">
        <v>307</v>
      </c>
      <c r="F59" s="34" t="s">
        <v>211</v>
      </c>
      <c r="G59" s="39">
        <v>300</v>
      </c>
      <c r="I59" s="39">
        <f>G59+H59</f>
        <v>300</v>
      </c>
      <c r="J59" s="51">
        <v>-300</v>
      </c>
      <c r="K59" s="39">
        <f>I59+J59</f>
        <v>0</v>
      </c>
      <c r="L59" s="51"/>
      <c r="M59" s="39">
        <f>K59+L59</f>
        <v>0</v>
      </c>
      <c r="N59" s="51"/>
      <c r="O59" s="66">
        <f>M59+N59</f>
        <v>0</v>
      </c>
      <c r="Q59" s="66">
        <f>O59+P59</f>
        <v>0</v>
      </c>
    </row>
    <row r="60" spans="1:17" x14ac:dyDescent="0.25">
      <c r="A60" s="36" t="s">
        <v>140</v>
      </c>
      <c r="B60" s="31"/>
      <c r="C60" s="31" t="s">
        <v>17</v>
      </c>
      <c r="D60" s="31"/>
      <c r="E60" s="31"/>
      <c r="F60" s="31"/>
      <c r="G60" s="40">
        <f>G61</f>
        <v>603.69999999999993</v>
      </c>
      <c r="I60" s="40">
        <f>I61</f>
        <v>603.69999999999993</v>
      </c>
      <c r="K60" s="40">
        <f>K61</f>
        <v>603.69999999999993</v>
      </c>
      <c r="L60" s="51"/>
      <c r="M60" s="40">
        <f>M61</f>
        <v>603.69999999999993</v>
      </c>
      <c r="N60" s="51"/>
      <c r="O60" s="65">
        <f>O61</f>
        <v>603.69999999999993</v>
      </c>
      <c r="Q60" s="65">
        <f>Q61</f>
        <v>603.69999999999993</v>
      </c>
    </row>
    <row r="61" spans="1:17" x14ac:dyDescent="0.25">
      <c r="A61" s="36" t="s">
        <v>288</v>
      </c>
      <c r="B61" s="31"/>
      <c r="C61" s="31" t="s">
        <v>17</v>
      </c>
      <c r="D61" s="31" t="s">
        <v>20</v>
      </c>
      <c r="E61" s="31"/>
      <c r="F61" s="31"/>
      <c r="G61" s="40">
        <f>G62</f>
        <v>603.69999999999993</v>
      </c>
      <c r="I61" s="40">
        <f>I62</f>
        <v>603.69999999999993</v>
      </c>
      <c r="K61" s="40">
        <f>K62</f>
        <v>603.69999999999993</v>
      </c>
      <c r="L61" s="51"/>
      <c r="M61" s="40">
        <f>M62</f>
        <v>603.69999999999993</v>
      </c>
      <c r="N61" s="51"/>
      <c r="O61" s="65">
        <f>O62</f>
        <v>603.69999999999993</v>
      </c>
      <c r="Q61" s="65">
        <f>Q62</f>
        <v>603.69999999999993</v>
      </c>
    </row>
    <row r="62" spans="1:17" ht="31.5" x14ac:dyDescent="0.25">
      <c r="A62" s="43" t="s">
        <v>378</v>
      </c>
      <c r="B62" s="34"/>
      <c r="C62" s="34" t="s">
        <v>17</v>
      </c>
      <c r="D62" s="34" t="s">
        <v>20</v>
      </c>
      <c r="E62" s="34" t="s">
        <v>218</v>
      </c>
      <c r="F62" s="34"/>
      <c r="G62" s="39">
        <f>G63+G65+G66</f>
        <v>603.69999999999993</v>
      </c>
      <c r="I62" s="39">
        <f>I63+I65+I66</f>
        <v>603.69999999999993</v>
      </c>
      <c r="K62" s="39">
        <f>K63+K65+K66</f>
        <v>603.69999999999993</v>
      </c>
      <c r="L62" s="51"/>
      <c r="M62" s="39">
        <f>M63+M65+M66</f>
        <v>603.69999999999993</v>
      </c>
      <c r="N62" s="51"/>
      <c r="O62" s="66">
        <f>O63+O65+O66</f>
        <v>603.69999999999993</v>
      </c>
      <c r="Q62" s="66">
        <f>Q63+Q65+Q66</f>
        <v>603.69999999999993</v>
      </c>
    </row>
    <row r="63" spans="1:17" x14ac:dyDescent="0.25">
      <c r="A63" s="17" t="s">
        <v>205</v>
      </c>
      <c r="B63" s="34"/>
      <c r="C63" s="34" t="s">
        <v>17</v>
      </c>
      <c r="D63" s="34" t="s">
        <v>20</v>
      </c>
      <c r="E63" s="34" t="s">
        <v>218</v>
      </c>
      <c r="F63" s="34" t="s">
        <v>206</v>
      </c>
      <c r="G63" s="39">
        <f>412.5+124.6</f>
        <v>537.1</v>
      </c>
      <c r="I63" s="39">
        <f>G63+H63</f>
        <v>537.1</v>
      </c>
      <c r="K63" s="39">
        <f>I63+J63</f>
        <v>537.1</v>
      </c>
      <c r="L63" s="51"/>
      <c r="M63" s="39">
        <f>K63+L63</f>
        <v>537.1</v>
      </c>
      <c r="N63" s="51"/>
      <c r="O63" s="66">
        <f>M63+N63</f>
        <v>537.1</v>
      </c>
      <c r="Q63" s="66">
        <f>O63+P63</f>
        <v>537.1</v>
      </c>
    </row>
    <row r="64" spans="1:17" ht="18.75" customHeight="1" x14ac:dyDescent="0.25">
      <c r="A64" s="17" t="s">
        <v>207</v>
      </c>
      <c r="B64" s="34"/>
      <c r="C64" s="34" t="s">
        <v>17</v>
      </c>
      <c r="D64" s="34" t="s">
        <v>20</v>
      </c>
      <c r="E64" s="34" t="s">
        <v>218</v>
      </c>
      <c r="F64" s="34" t="s">
        <v>208</v>
      </c>
      <c r="G64" s="39"/>
      <c r="I64" s="39">
        <f>G64+H64</f>
        <v>0</v>
      </c>
      <c r="K64" s="39">
        <f>I64+J64</f>
        <v>0</v>
      </c>
      <c r="L64" s="51"/>
      <c r="M64" s="39">
        <f>K64+L64</f>
        <v>0</v>
      </c>
      <c r="N64" s="51"/>
      <c r="O64" s="66">
        <f>M64+N64</f>
        <v>0</v>
      </c>
      <c r="Q64" s="66">
        <f>O64+P64</f>
        <v>0</v>
      </c>
    </row>
    <row r="65" spans="1:17" ht="17.25" customHeight="1" x14ac:dyDescent="0.25">
      <c r="A65" s="17" t="s">
        <v>209</v>
      </c>
      <c r="B65" s="34"/>
      <c r="C65" s="34" t="s">
        <v>17</v>
      </c>
      <c r="D65" s="34" t="s">
        <v>20</v>
      </c>
      <c r="E65" s="34" t="s">
        <v>218</v>
      </c>
      <c r="F65" s="34" t="s">
        <v>210</v>
      </c>
      <c r="G65" s="39">
        <f>15.3+2.5+1+5</f>
        <v>23.8</v>
      </c>
      <c r="I65" s="39">
        <f>G65+H65</f>
        <v>23.8</v>
      </c>
      <c r="K65" s="39">
        <f>I65+J65</f>
        <v>23.8</v>
      </c>
      <c r="L65" s="51"/>
      <c r="M65" s="39">
        <f>K65+L65</f>
        <v>23.8</v>
      </c>
      <c r="N65" s="51"/>
      <c r="O65" s="66">
        <f>M65+N65</f>
        <v>23.8</v>
      </c>
      <c r="Q65" s="66">
        <f>O65+P65</f>
        <v>23.8</v>
      </c>
    </row>
    <row r="66" spans="1:17" ht="15.75" customHeight="1" x14ac:dyDescent="0.25">
      <c r="A66" s="17" t="s">
        <v>225</v>
      </c>
      <c r="B66" s="34"/>
      <c r="C66" s="34" t="s">
        <v>17</v>
      </c>
      <c r="D66" s="34" t="s">
        <v>20</v>
      </c>
      <c r="E66" s="34" t="s">
        <v>218</v>
      </c>
      <c r="F66" s="34" t="s">
        <v>211</v>
      </c>
      <c r="G66" s="39">
        <f>5+27.8+10</f>
        <v>42.8</v>
      </c>
      <c r="I66" s="39">
        <f>G66+H66</f>
        <v>42.8</v>
      </c>
      <c r="K66" s="39">
        <f>I66+J66</f>
        <v>42.8</v>
      </c>
      <c r="L66" s="51"/>
      <c r="M66" s="39">
        <f>K66+L66</f>
        <v>42.8</v>
      </c>
      <c r="N66" s="51"/>
      <c r="O66" s="66">
        <f>M66+N66</f>
        <v>42.8</v>
      </c>
      <c r="Q66" s="66">
        <f>O66+P66</f>
        <v>42.8</v>
      </c>
    </row>
    <row r="67" spans="1:17" ht="18" customHeight="1" x14ac:dyDescent="0.25">
      <c r="A67" s="36" t="s">
        <v>141</v>
      </c>
      <c r="B67" s="31"/>
      <c r="C67" s="31" t="s">
        <v>20</v>
      </c>
      <c r="D67" s="31"/>
      <c r="E67" s="31"/>
      <c r="F67" s="31"/>
      <c r="G67" s="40">
        <f>G68</f>
        <v>246.4</v>
      </c>
      <c r="I67" s="40">
        <f>I68</f>
        <v>246.4</v>
      </c>
      <c r="K67" s="40">
        <f>K68</f>
        <v>246.4</v>
      </c>
      <c r="L67" s="51"/>
      <c r="M67" s="40">
        <f>M68</f>
        <v>1618.9499999999998</v>
      </c>
      <c r="N67" s="51"/>
      <c r="O67" s="65">
        <f>O68</f>
        <v>1618.9499999999998</v>
      </c>
      <c r="Q67" s="65">
        <f>Q68</f>
        <v>1618.9499999999998</v>
      </c>
    </row>
    <row r="68" spans="1:17" ht="29.25" customHeight="1" x14ac:dyDescent="0.25">
      <c r="A68" s="36" t="s">
        <v>95</v>
      </c>
      <c r="B68" s="31"/>
      <c r="C68" s="31" t="s">
        <v>20</v>
      </c>
      <c r="D68" s="31" t="s">
        <v>63</v>
      </c>
      <c r="E68" s="31"/>
      <c r="F68" s="31"/>
      <c r="G68" s="40">
        <f>G71+G73</f>
        <v>246.4</v>
      </c>
      <c r="I68" s="40">
        <f>I71+I73</f>
        <v>246.4</v>
      </c>
      <c r="K68" s="40">
        <f>K71+K73</f>
        <v>246.4</v>
      </c>
      <c r="L68" s="51"/>
      <c r="M68" s="40">
        <f>M71+M69</f>
        <v>1618.9499999999998</v>
      </c>
      <c r="N68" s="51"/>
      <c r="O68" s="65">
        <f>O71+O69</f>
        <v>1618.9499999999998</v>
      </c>
      <c r="Q68" s="65">
        <f>Q71+Q69</f>
        <v>1618.9499999999998</v>
      </c>
    </row>
    <row r="69" spans="1:17" ht="15" customHeight="1" x14ac:dyDescent="0.25">
      <c r="A69" s="17" t="s">
        <v>508</v>
      </c>
      <c r="B69" s="34"/>
      <c r="C69" s="34" t="s">
        <v>20</v>
      </c>
      <c r="D69" s="34" t="s">
        <v>63</v>
      </c>
      <c r="E69" s="34" t="s">
        <v>371</v>
      </c>
      <c r="F69" s="34"/>
      <c r="G69" s="39"/>
      <c r="I69" s="39"/>
      <c r="K69" s="39"/>
      <c r="L69" s="51"/>
      <c r="M69" s="39">
        <f>M70</f>
        <v>22.55</v>
      </c>
      <c r="N69" s="51"/>
      <c r="O69" s="66">
        <f>O70</f>
        <v>22.55</v>
      </c>
      <c r="Q69" s="66">
        <f>Q70</f>
        <v>22.55</v>
      </c>
    </row>
    <row r="70" spans="1:17" ht="18.75" customHeight="1" x14ac:dyDescent="0.25">
      <c r="A70" s="17" t="s">
        <v>225</v>
      </c>
      <c r="B70" s="34"/>
      <c r="C70" s="34" t="s">
        <v>20</v>
      </c>
      <c r="D70" s="34" t="s">
        <v>63</v>
      </c>
      <c r="E70" s="34" t="s">
        <v>371</v>
      </c>
      <c r="F70" s="34" t="s">
        <v>211</v>
      </c>
      <c r="G70" s="39"/>
      <c r="I70" s="39"/>
      <c r="K70" s="39"/>
      <c r="L70" s="51">
        <v>22.55</v>
      </c>
      <c r="M70" s="39">
        <f>K70+L70</f>
        <v>22.55</v>
      </c>
      <c r="N70" s="51"/>
      <c r="O70" s="66">
        <f>M70+N70</f>
        <v>22.55</v>
      </c>
      <c r="Q70" s="66">
        <f>O70+P70</f>
        <v>22.55</v>
      </c>
    </row>
    <row r="71" spans="1:17" x14ac:dyDescent="0.25">
      <c r="A71" s="17" t="s">
        <v>52</v>
      </c>
      <c r="B71" s="34"/>
      <c r="C71" s="34" t="s">
        <v>20</v>
      </c>
      <c r="D71" s="34" t="s">
        <v>63</v>
      </c>
      <c r="E71" s="34" t="s">
        <v>219</v>
      </c>
      <c r="F71" s="34"/>
      <c r="G71" s="39">
        <f>G72</f>
        <v>246.4</v>
      </c>
      <c r="I71" s="39">
        <f>I72</f>
        <v>246.4</v>
      </c>
      <c r="K71" s="39">
        <f>K72</f>
        <v>246.4</v>
      </c>
      <c r="L71" s="51"/>
      <c r="M71" s="39">
        <f>M72+M73+M74</f>
        <v>1596.3999999999999</v>
      </c>
      <c r="N71" s="51"/>
      <c r="O71" s="66">
        <f>O72+O73+O74</f>
        <v>1596.3999999999999</v>
      </c>
      <c r="Q71" s="66">
        <f>Q72+Q73+Q74</f>
        <v>1596.3999999999999</v>
      </c>
    </row>
    <row r="72" spans="1:17" x14ac:dyDescent="0.25">
      <c r="A72" s="17" t="s">
        <v>205</v>
      </c>
      <c r="B72" s="34"/>
      <c r="C72" s="34" t="s">
        <v>20</v>
      </c>
      <c r="D72" s="34" t="s">
        <v>63</v>
      </c>
      <c r="E72" s="34" t="s">
        <v>219</v>
      </c>
      <c r="F72" s="34" t="s">
        <v>206</v>
      </c>
      <c r="G72" s="39">
        <v>246.4</v>
      </c>
      <c r="I72" s="39">
        <f>G72+H72</f>
        <v>246.4</v>
      </c>
      <c r="K72" s="39">
        <f>I72+J72</f>
        <v>246.4</v>
      </c>
      <c r="L72" s="51"/>
      <c r="M72" s="39">
        <f>K72+L72</f>
        <v>246.4</v>
      </c>
      <c r="N72" s="51"/>
      <c r="O72" s="66">
        <f>M72+N72</f>
        <v>246.4</v>
      </c>
      <c r="Q72" s="66">
        <f>O72+P72</f>
        <v>246.4</v>
      </c>
    </row>
    <row r="73" spans="1:17" x14ac:dyDescent="0.25">
      <c r="A73" s="17" t="s">
        <v>209</v>
      </c>
      <c r="B73" s="34"/>
      <c r="C73" s="34" t="s">
        <v>20</v>
      </c>
      <c r="D73" s="34" t="s">
        <v>63</v>
      </c>
      <c r="E73" s="34" t="s">
        <v>219</v>
      </c>
      <c r="F73" s="34" t="s">
        <v>210</v>
      </c>
      <c r="G73" s="39"/>
      <c r="I73" s="39">
        <f>G73+H73</f>
        <v>0</v>
      </c>
      <c r="K73" s="39">
        <f>I73+J73</f>
        <v>0</v>
      </c>
      <c r="L73" s="51">
        <v>0.9</v>
      </c>
      <c r="M73" s="39">
        <f>K73+L73</f>
        <v>0.9</v>
      </c>
      <c r="N73" s="51"/>
      <c r="O73" s="66">
        <f>M73+N73</f>
        <v>0.9</v>
      </c>
      <c r="Q73" s="66">
        <f>O73+P73</f>
        <v>0.9</v>
      </c>
    </row>
    <row r="74" spans="1:17" x14ac:dyDescent="0.25">
      <c r="A74" s="17" t="s">
        <v>225</v>
      </c>
      <c r="B74" s="34"/>
      <c r="C74" s="34" t="s">
        <v>20</v>
      </c>
      <c r="D74" s="34" t="s">
        <v>63</v>
      </c>
      <c r="E74" s="34" t="s">
        <v>219</v>
      </c>
      <c r="F74" s="34" t="s">
        <v>211</v>
      </c>
      <c r="G74" s="39"/>
      <c r="I74" s="39"/>
      <c r="K74" s="39"/>
      <c r="L74" s="51">
        <v>1349.1</v>
      </c>
      <c r="M74" s="39">
        <f>K74+L74</f>
        <v>1349.1</v>
      </c>
      <c r="N74" s="51">
        <f>300-300</f>
        <v>0</v>
      </c>
      <c r="O74" s="66">
        <f>M74+N74</f>
        <v>1349.1</v>
      </c>
      <c r="Q74" s="66">
        <f>O74+P74</f>
        <v>1349.1</v>
      </c>
    </row>
    <row r="75" spans="1:17" hidden="1" x14ac:dyDescent="0.25">
      <c r="A75" s="36" t="s">
        <v>42</v>
      </c>
      <c r="B75" s="31"/>
      <c r="C75" s="31" t="s">
        <v>24</v>
      </c>
      <c r="D75" s="31"/>
      <c r="E75" s="31"/>
      <c r="F75" s="31"/>
      <c r="G75" s="40">
        <f>G76</f>
        <v>0</v>
      </c>
      <c r="I75" s="40">
        <f>I76</f>
        <v>0</v>
      </c>
      <c r="K75" s="40">
        <f>K76</f>
        <v>0</v>
      </c>
      <c r="L75" s="51"/>
      <c r="M75" s="40">
        <f>M76</f>
        <v>0</v>
      </c>
      <c r="N75" s="51"/>
      <c r="O75" s="65">
        <f>O76</f>
        <v>0</v>
      </c>
      <c r="Q75" s="65">
        <f>Q76</f>
        <v>0</v>
      </c>
    </row>
    <row r="76" spans="1:17" hidden="1" x14ac:dyDescent="0.25">
      <c r="A76" s="36" t="s">
        <v>221</v>
      </c>
      <c r="B76" s="31"/>
      <c r="C76" s="31" t="s">
        <v>24</v>
      </c>
      <c r="D76" s="31" t="s">
        <v>98</v>
      </c>
      <c r="E76" s="31"/>
      <c r="F76" s="31"/>
      <c r="G76" s="40">
        <f>G77</f>
        <v>0</v>
      </c>
      <c r="I76" s="40">
        <f>I77</f>
        <v>0</v>
      </c>
      <c r="K76" s="40">
        <f>K77</f>
        <v>0</v>
      </c>
      <c r="L76" s="51"/>
      <c r="M76" s="40">
        <f>M77</f>
        <v>0</v>
      </c>
      <c r="N76" s="51"/>
      <c r="O76" s="65">
        <f>O77</f>
        <v>0</v>
      </c>
      <c r="Q76" s="65">
        <f>Q77</f>
        <v>0</v>
      </c>
    </row>
    <row r="77" spans="1:17" ht="30.75" hidden="1" customHeight="1" x14ac:dyDescent="0.25">
      <c r="A77" s="45" t="s">
        <v>384</v>
      </c>
      <c r="B77" s="34"/>
      <c r="C77" s="34" t="s">
        <v>24</v>
      </c>
      <c r="D77" s="34" t="s">
        <v>98</v>
      </c>
      <c r="E77" s="34" t="s">
        <v>220</v>
      </c>
      <c r="F77" s="34"/>
      <c r="G77" s="39">
        <f>G78</f>
        <v>0</v>
      </c>
      <c r="I77" s="39">
        <f>I78</f>
        <v>0</v>
      </c>
      <c r="K77" s="39">
        <f>K78</f>
        <v>0</v>
      </c>
      <c r="L77" s="51"/>
      <c r="M77" s="39">
        <f>M78</f>
        <v>0</v>
      </c>
      <c r="N77" s="51"/>
      <c r="O77" s="66">
        <f>O78</f>
        <v>0</v>
      </c>
      <c r="Q77" s="66">
        <f>Q78</f>
        <v>0</v>
      </c>
    </row>
    <row r="78" spans="1:17" ht="30" hidden="1" customHeight="1" x14ac:dyDescent="0.25">
      <c r="A78" s="43" t="s">
        <v>379</v>
      </c>
      <c r="B78" s="34"/>
      <c r="C78" s="34" t="s">
        <v>24</v>
      </c>
      <c r="D78" s="34" t="s">
        <v>98</v>
      </c>
      <c r="E78" s="34" t="s">
        <v>220</v>
      </c>
      <c r="F78" s="34" t="s">
        <v>302</v>
      </c>
      <c r="G78" s="39"/>
      <c r="I78" s="39"/>
      <c r="K78" s="39"/>
      <c r="L78" s="51"/>
      <c r="M78" s="39"/>
      <c r="N78" s="51"/>
      <c r="O78" s="66"/>
      <c r="Q78" s="66"/>
    </row>
    <row r="79" spans="1:17" ht="17.25" customHeight="1" x14ac:dyDescent="0.25">
      <c r="A79" s="117" t="s">
        <v>42</v>
      </c>
      <c r="B79" s="31"/>
      <c r="C79" s="31" t="s">
        <v>24</v>
      </c>
      <c r="D79" s="31"/>
      <c r="E79" s="31"/>
      <c r="F79" s="31"/>
      <c r="G79" s="40"/>
      <c r="H79" s="52"/>
      <c r="I79" s="40"/>
      <c r="J79" s="52"/>
      <c r="K79" s="40">
        <f>K85</f>
        <v>300</v>
      </c>
      <c r="L79" s="51"/>
      <c r="M79" s="40">
        <f>M85</f>
        <v>323.5</v>
      </c>
      <c r="N79" s="51"/>
      <c r="O79" s="65">
        <f>O85</f>
        <v>323.5</v>
      </c>
      <c r="Q79" s="65">
        <f>Q85+Q80</f>
        <v>13681.49</v>
      </c>
    </row>
    <row r="80" spans="1:17" ht="16.5" customHeight="1" x14ac:dyDescent="0.25">
      <c r="A80" s="68" t="s">
        <v>613</v>
      </c>
      <c r="B80" s="34"/>
      <c r="C80" s="31" t="s">
        <v>24</v>
      </c>
      <c r="D80" s="31" t="s">
        <v>43</v>
      </c>
      <c r="E80" s="31"/>
      <c r="F80" s="31"/>
      <c r="G80" s="40"/>
      <c r="H80" s="52"/>
      <c r="I80" s="40"/>
      <c r="J80" s="52"/>
      <c r="K80" s="40"/>
      <c r="L80" s="52"/>
      <c r="M80" s="40"/>
      <c r="N80" s="52"/>
      <c r="O80" s="65"/>
      <c r="P80" s="69"/>
      <c r="Q80" s="65">
        <f>Q81+Q83</f>
        <v>13357.99</v>
      </c>
    </row>
    <row r="81" spans="1:17" ht="30" customHeight="1" x14ac:dyDescent="0.25">
      <c r="A81" s="37" t="s">
        <v>614</v>
      </c>
      <c r="B81" s="34"/>
      <c r="C81" s="34" t="s">
        <v>24</v>
      </c>
      <c r="D81" s="34" t="s">
        <v>43</v>
      </c>
      <c r="E81" s="34" t="s">
        <v>579</v>
      </c>
      <c r="F81" s="34"/>
      <c r="G81" s="39"/>
      <c r="I81" s="39"/>
      <c r="K81" s="39"/>
      <c r="L81" s="51"/>
      <c r="M81" s="39"/>
      <c r="N81" s="51"/>
      <c r="O81" s="66"/>
      <c r="Q81" s="66">
        <f>Q82</f>
        <v>10000</v>
      </c>
    </row>
    <row r="82" spans="1:17" ht="30" customHeight="1" x14ac:dyDescent="0.25">
      <c r="A82" s="37" t="s">
        <v>615</v>
      </c>
      <c r="B82" s="34"/>
      <c r="C82" s="34" t="s">
        <v>24</v>
      </c>
      <c r="D82" s="34" t="s">
        <v>43</v>
      </c>
      <c r="E82" s="34" t="s">
        <v>579</v>
      </c>
      <c r="F82" s="34" t="s">
        <v>272</v>
      </c>
      <c r="G82" s="39"/>
      <c r="I82" s="39"/>
      <c r="K82" s="39"/>
      <c r="L82" s="51"/>
      <c r="M82" s="39"/>
      <c r="N82" s="51"/>
      <c r="O82" s="66"/>
      <c r="P82" s="26">
        <v>10000</v>
      </c>
      <c r="Q82" s="66">
        <f>P82+O82</f>
        <v>10000</v>
      </c>
    </row>
    <row r="83" spans="1:17" ht="16.5" customHeight="1" x14ac:dyDescent="0.25">
      <c r="A83" s="37" t="s">
        <v>618</v>
      </c>
      <c r="B83" s="34"/>
      <c r="C83" s="34" t="s">
        <v>24</v>
      </c>
      <c r="D83" s="34" t="s">
        <v>43</v>
      </c>
      <c r="E83" s="34" t="s">
        <v>619</v>
      </c>
      <c r="F83" s="34"/>
      <c r="G83" s="39"/>
      <c r="I83" s="39"/>
      <c r="K83" s="39"/>
      <c r="L83" s="51"/>
      <c r="M83" s="39"/>
      <c r="N83" s="51"/>
      <c r="O83" s="66"/>
      <c r="Q83" s="66">
        <f>Q84</f>
        <v>3357.99</v>
      </c>
    </row>
    <row r="84" spans="1:17" ht="32.25" customHeight="1" x14ac:dyDescent="0.25">
      <c r="A84" s="37" t="s">
        <v>615</v>
      </c>
      <c r="B84" s="34"/>
      <c r="C84" s="34" t="s">
        <v>24</v>
      </c>
      <c r="D84" s="34" t="s">
        <v>43</v>
      </c>
      <c r="E84" s="34" t="s">
        <v>619</v>
      </c>
      <c r="F84" s="34" t="s">
        <v>272</v>
      </c>
      <c r="G84" s="39"/>
      <c r="I84" s="39"/>
      <c r="K84" s="39"/>
      <c r="L84" s="51"/>
      <c r="M84" s="39"/>
      <c r="N84" s="51"/>
      <c r="O84" s="66"/>
      <c r="P84" s="26">
        <v>3357.99</v>
      </c>
      <c r="Q84" s="66">
        <f>P84+O84</f>
        <v>3357.99</v>
      </c>
    </row>
    <row r="85" spans="1:17" ht="16.5" customHeight="1" x14ac:dyDescent="0.25">
      <c r="A85" s="30" t="s">
        <v>166</v>
      </c>
      <c r="B85" s="31"/>
      <c r="C85" s="31" t="s">
        <v>24</v>
      </c>
      <c r="D85" s="31" t="s">
        <v>27</v>
      </c>
      <c r="E85" s="31"/>
      <c r="F85" s="31"/>
      <c r="G85" s="40"/>
      <c r="H85" s="52"/>
      <c r="I85" s="40"/>
      <c r="J85" s="52"/>
      <c r="K85" s="40">
        <f>K86</f>
        <v>300</v>
      </c>
      <c r="L85" s="52"/>
      <c r="M85" s="40">
        <f>M86+M88</f>
        <v>323.5</v>
      </c>
      <c r="N85" s="52"/>
      <c r="O85" s="65">
        <f>O86+O88</f>
        <v>323.5</v>
      </c>
      <c r="P85" s="69"/>
      <c r="Q85" s="65">
        <f>Q86+Q88</f>
        <v>323.5</v>
      </c>
    </row>
    <row r="86" spans="1:17" ht="28.5" customHeight="1" x14ac:dyDescent="0.25">
      <c r="A86" s="17" t="s">
        <v>308</v>
      </c>
      <c r="B86" s="34"/>
      <c r="C86" s="34" t="s">
        <v>24</v>
      </c>
      <c r="D86" s="34" t="s">
        <v>27</v>
      </c>
      <c r="E86" s="34" t="s">
        <v>307</v>
      </c>
      <c r="F86" s="34"/>
      <c r="G86" s="39"/>
      <c r="I86" s="39"/>
      <c r="K86" s="39">
        <f>K87</f>
        <v>300</v>
      </c>
      <c r="L86" s="51"/>
      <c r="M86" s="39">
        <f>M87</f>
        <v>300</v>
      </c>
      <c r="N86" s="51"/>
      <c r="O86" s="66">
        <f>O87</f>
        <v>300</v>
      </c>
      <c r="Q86" s="66">
        <f>Q87</f>
        <v>300</v>
      </c>
    </row>
    <row r="87" spans="1:17" ht="16.5" customHeight="1" x14ac:dyDescent="0.25">
      <c r="A87" s="17" t="s">
        <v>225</v>
      </c>
      <c r="B87" s="34"/>
      <c r="C87" s="34" t="s">
        <v>24</v>
      </c>
      <c r="D87" s="34" t="s">
        <v>27</v>
      </c>
      <c r="E87" s="34" t="s">
        <v>307</v>
      </c>
      <c r="F87" s="34" t="s">
        <v>211</v>
      </c>
      <c r="G87" s="39"/>
      <c r="I87" s="39"/>
      <c r="J87" s="51">
        <v>300</v>
      </c>
      <c r="K87" s="39">
        <f>I87+J87</f>
        <v>300</v>
      </c>
      <c r="L87" s="51"/>
      <c r="M87" s="39">
        <f>K87+L87</f>
        <v>300</v>
      </c>
      <c r="N87" s="51"/>
      <c r="O87" s="66">
        <f>M87+N87</f>
        <v>300</v>
      </c>
      <c r="Q87" s="66">
        <f>O87+P87</f>
        <v>300</v>
      </c>
    </row>
    <row r="88" spans="1:17" ht="16.5" customHeight="1" x14ac:dyDescent="0.25">
      <c r="A88" s="17" t="s">
        <v>509</v>
      </c>
      <c r="B88" s="34"/>
      <c r="C88" s="34" t="s">
        <v>24</v>
      </c>
      <c r="D88" s="34" t="s">
        <v>27</v>
      </c>
      <c r="E88" s="34" t="s">
        <v>310</v>
      </c>
      <c r="F88" s="34"/>
      <c r="G88" s="39"/>
      <c r="I88" s="39"/>
      <c r="K88" s="39"/>
      <c r="L88" s="51"/>
      <c r="M88" s="39">
        <f>M89</f>
        <v>23.5</v>
      </c>
      <c r="N88" s="51"/>
      <c r="O88" s="66">
        <f>O89</f>
        <v>23.5</v>
      </c>
      <c r="Q88" s="66">
        <f>Q89</f>
        <v>23.5</v>
      </c>
    </row>
    <row r="89" spans="1:17" ht="15.75" customHeight="1" x14ac:dyDescent="0.25">
      <c r="A89" s="17" t="s">
        <v>225</v>
      </c>
      <c r="B89" s="34"/>
      <c r="C89" s="34" t="s">
        <v>24</v>
      </c>
      <c r="D89" s="34" t="s">
        <v>27</v>
      </c>
      <c r="E89" s="34" t="s">
        <v>310</v>
      </c>
      <c r="F89" s="34" t="s">
        <v>211</v>
      </c>
      <c r="G89" s="39"/>
      <c r="I89" s="39"/>
      <c r="K89" s="39"/>
      <c r="L89" s="51">
        <v>23.5</v>
      </c>
      <c r="M89" s="39">
        <f>K89+L89</f>
        <v>23.5</v>
      </c>
      <c r="N89" s="51"/>
      <c r="O89" s="66">
        <f>M89+N89</f>
        <v>23.5</v>
      </c>
      <c r="Q89" s="66">
        <f>O89+P89</f>
        <v>23.5</v>
      </c>
    </row>
    <row r="90" spans="1:17" ht="16.5" customHeight="1" x14ac:dyDescent="0.25">
      <c r="A90" s="36" t="s">
        <v>45</v>
      </c>
      <c r="B90" s="31"/>
      <c r="C90" s="31" t="s">
        <v>46</v>
      </c>
      <c r="D90" s="31"/>
      <c r="E90" s="31"/>
      <c r="F90" s="31"/>
      <c r="G90" s="40" t="e">
        <f>G109+#REF!</f>
        <v>#REF!</v>
      </c>
      <c r="I90" s="40" t="e">
        <f>I109+#REF!</f>
        <v>#REF!</v>
      </c>
      <c r="K90" s="40" t="e">
        <f>K109+#REF!+K100+K91</f>
        <v>#REF!</v>
      </c>
      <c r="L90" s="51"/>
      <c r="M90" s="40">
        <f>M109+M100+M91+M106</f>
        <v>10328.16</v>
      </c>
      <c r="N90" s="51"/>
      <c r="O90" s="65">
        <f>O109+O100+O91+O106</f>
        <v>11941.92</v>
      </c>
      <c r="Q90" s="65">
        <f>Q109+Q100+Q91+Q106</f>
        <v>11941.92</v>
      </c>
    </row>
    <row r="91" spans="1:17" ht="16.5" customHeight="1" x14ac:dyDescent="0.25">
      <c r="A91" s="25" t="s">
        <v>419</v>
      </c>
      <c r="B91" s="31"/>
      <c r="C91" s="31" t="s">
        <v>46</v>
      </c>
      <c r="D91" s="31" t="s">
        <v>15</v>
      </c>
      <c r="E91" s="31"/>
      <c r="F91" s="31"/>
      <c r="G91" s="40"/>
      <c r="I91" s="40"/>
      <c r="K91" s="40">
        <f>K98</f>
        <v>5300</v>
      </c>
      <c r="L91" s="51"/>
      <c r="M91" s="40">
        <f>M98+M96</f>
        <v>8884.26</v>
      </c>
      <c r="N91" s="51"/>
      <c r="O91" s="65">
        <f>O98+O96+O94+O92</f>
        <v>10263.68</v>
      </c>
      <c r="Q91" s="65">
        <f>Q98+Q96+Q94+Q92</f>
        <v>10263.68</v>
      </c>
    </row>
    <row r="92" spans="1:17" ht="27.75" customHeight="1" x14ac:dyDescent="0.25">
      <c r="A92" s="47" t="s">
        <v>633</v>
      </c>
      <c r="B92" s="34"/>
      <c r="C92" s="34" t="s">
        <v>46</v>
      </c>
      <c r="D92" s="34" t="s">
        <v>15</v>
      </c>
      <c r="E92" s="34" t="s">
        <v>571</v>
      </c>
      <c r="F92" s="34"/>
      <c r="G92" s="39"/>
      <c r="I92" s="39"/>
      <c r="K92" s="39"/>
      <c r="L92" s="51"/>
      <c r="M92" s="39"/>
      <c r="N92" s="51"/>
      <c r="O92" s="66">
        <f>O93</f>
        <v>487.05</v>
      </c>
      <c r="Q92" s="66">
        <f>Q93</f>
        <v>487.05</v>
      </c>
    </row>
    <row r="93" spans="1:17" ht="27.75" customHeight="1" x14ac:dyDescent="0.25">
      <c r="A93" s="47" t="s">
        <v>570</v>
      </c>
      <c r="B93" s="34"/>
      <c r="C93" s="34" t="s">
        <v>46</v>
      </c>
      <c r="D93" s="34" t="s">
        <v>15</v>
      </c>
      <c r="E93" s="34" t="s">
        <v>571</v>
      </c>
      <c r="F93" s="34" t="s">
        <v>302</v>
      </c>
      <c r="G93" s="39"/>
      <c r="I93" s="39"/>
      <c r="K93" s="39"/>
      <c r="L93" s="51"/>
      <c r="M93" s="39"/>
      <c r="N93" s="51">
        <v>487.05</v>
      </c>
      <c r="O93" s="66">
        <f>M93+N93</f>
        <v>487.05</v>
      </c>
      <c r="Q93" s="66">
        <f>O93+P93</f>
        <v>487.05</v>
      </c>
    </row>
    <row r="94" spans="1:17" ht="18.75" customHeight="1" x14ac:dyDescent="0.25">
      <c r="A94" s="47" t="s">
        <v>624</v>
      </c>
      <c r="B94" s="34"/>
      <c r="C94" s="34" t="s">
        <v>46</v>
      </c>
      <c r="D94" s="34" t="s">
        <v>15</v>
      </c>
      <c r="E94" s="34" t="s">
        <v>573</v>
      </c>
      <c r="F94" s="34"/>
      <c r="G94" s="39"/>
      <c r="I94" s="39"/>
      <c r="K94" s="39"/>
      <c r="L94" s="51"/>
      <c r="M94" s="39"/>
      <c r="N94" s="51"/>
      <c r="O94" s="66">
        <f>O95</f>
        <v>892.37</v>
      </c>
      <c r="Q94" s="66">
        <f>Q95</f>
        <v>892.37</v>
      </c>
    </row>
    <row r="95" spans="1:17" ht="31.5" customHeight="1" x14ac:dyDescent="0.25">
      <c r="A95" s="47" t="s">
        <v>570</v>
      </c>
      <c r="B95" s="34"/>
      <c r="C95" s="34" t="s">
        <v>46</v>
      </c>
      <c r="D95" s="34" t="s">
        <v>15</v>
      </c>
      <c r="E95" s="34" t="s">
        <v>573</v>
      </c>
      <c r="F95" s="34" t="s">
        <v>302</v>
      </c>
      <c r="G95" s="39"/>
      <c r="I95" s="39"/>
      <c r="K95" s="39"/>
      <c r="L95" s="51"/>
      <c r="M95" s="39"/>
      <c r="N95" s="51">
        <v>892.37</v>
      </c>
      <c r="O95" s="66">
        <f>M95+N95</f>
        <v>892.37</v>
      </c>
      <c r="Q95" s="66">
        <f>O95+P95</f>
        <v>892.37</v>
      </c>
    </row>
    <row r="96" spans="1:17" ht="45.75" customHeight="1" x14ac:dyDescent="0.25">
      <c r="A96" s="47" t="s">
        <v>567</v>
      </c>
      <c r="B96" s="34"/>
      <c r="C96" s="34" t="s">
        <v>46</v>
      </c>
      <c r="D96" s="34" t="s">
        <v>15</v>
      </c>
      <c r="E96" s="34" t="s">
        <v>566</v>
      </c>
      <c r="F96" s="34"/>
      <c r="G96" s="39"/>
      <c r="I96" s="39"/>
      <c r="K96" s="39"/>
      <c r="L96" s="51"/>
      <c r="M96" s="39">
        <f>M97</f>
        <v>584.26</v>
      </c>
      <c r="N96" s="51"/>
      <c r="O96" s="66">
        <f>O97</f>
        <v>584.26</v>
      </c>
      <c r="Q96" s="66">
        <f>Q97</f>
        <v>584.26</v>
      </c>
    </row>
    <row r="97" spans="1:17" ht="16.5" customHeight="1" x14ac:dyDescent="0.25">
      <c r="A97" s="47" t="s">
        <v>379</v>
      </c>
      <c r="B97" s="34"/>
      <c r="C97" s="34" t="s">
        <v>46</v>
      </c>
      <c r="D97" s="34" t="s">
        <v>15</v>
      </c>
      <c r="E97" s="34" t="s">
        <v>566</v>
      </c>
      <c r="F97" s="34" t="s">
        <v>302</v>
      </c>
      <c r="G97" s="39"/>
      <c r="I97" s="39"/>
      <c r="K97" s="39"/>
      <c r="L97" s="51">
        <v>584.26</v>
      </c>
      <c r="M97" s="39">
        <f>K97+L97</f>
        <v>584.26</v>
      </c>
      <c r="N97" s="51"/>
      <c r="O97" s="66">
        <f>M97+N97</f>
        <v>584.26</v>
      </c>
      <c r="Q97" s="66">
        <f>O97+P97</f>
        <v>584.26</v>
      </c>
    </row>
    <row r="98" spans="1:17" ht="14.25" customHeight="1" x14ac:dyDescent="0.25">
      <c r="A98" s="47" t="s">
        <v>420</v>
      </c>
      <c r="B98" s="34"/>
      <c r="C98" s="34" t="s">
        <v>46</v>
      </c>
      <c r="D98" s="34" t="s">
        <v>15</v>
      </c>
      <c r="E98" s="34" t="s">
        <v>450</v>
      </c>
      <c r="F98" s="34"/>
      <c r="G98" s="39"/>
      <c r="I98" s="39"/>
      <c r="K98" s="39">
        <f>K99</f>
        <v>5300</v>
      </c>
      <c r="L98" s="51"/>
      <c r="M98" s="39">
        <f>M99</f>
        <v>8300</v>
      </c>
      <c r="N98" s="51"/>
      <c r="O98" s="66">
        <f>O99</f>
        <v>8300</v>
      </c>
      <c r="Q98" s="66">
        <f>Q99</f>
        <v>8300</v>
      </c>
    </row>
    <row r="99" spans="1:17" ht="31.5" customHeight="1" x14ac:dyDescent="0.25">
      <c r="A99" s="17" t="s">
        <v>452</v>
      </c>
      <c r="B99" s="34"/>
      <c r="C99" s="34" t="s">
        <v>46</v>
      </c>
      <c r="D99" s="34" t="s">
        <v>15</v>
      </c>
      <c r="E99" s="34" t="s">
        <v>450</v>
      </c>
      <c r="F99" s="34" t="s">
        <v>451</v>
      </c>
      <c r="G99" s="39"/>
      <c r="I99" s="39"/>
      <c r="J99" s="51">
        <v>5300</v>
      </c>
      <c r="K99" s="39">
        <f>I99+J99</f>
        <v>5300</v>
      </c>
      <c r="L99" s="51">
        <f>640+2360</f>
        <v>3000</v>
      </c>
      <c r="M99" s="39">
        <f>K99+L99</f>
        <v>8300</v>
      </c>
      <c r="N99" s="51"/>
      <c r="O99" s="66">
        <f>M99+N99</f>
        <v>8300</v>
      </c>
      <c r="Q99" s="66">
        <f>O99+P99</f>
        <v>8300</v>
      </c>
    </row>
    <row r="100" spans="1:17" ht="16.5" customHeight="1" x14ac:dyDescent="0.25">
      <c r="A100" s="36" t="s">
        <v>47</v>
      </c>
      <c r="B100" s="31"/>
      <c r="C100" s="31" t="s">
        <v>46</v>
      </c>
      <c r="D100" s="31" t="s">
        <v>17</v>
      </c>
      <c r="E100" s="31"/>
      <c r="F100" s="31"/>
      <c r="G100" s="40"/>
      <c r="H100" s="52"/>
      <c r="I100" s="40"/>
      <c r="J100" s="52"/>
      <c r="K100" s="40">
        <f>K101</f>
        <v>140</v>
      </c>
      <c r="L100" s="51"/>
      <c r="M100" s="40">
        <f>M101</f>
        <v>140</v>
      </c>
      <c r="N100" s="51"/>
      <c r="O100" s="65">
        <f>O101+O103</f>
        <v>374.34</v>
      </c>
      <c r="Q100" s="65">
        <f>Q101+Q103</f>
        <v>374.34</v>
      </c>
    </row>
    <row r="101" spans="1:17" ht="17.25" customHeight="1" x14ac:dyDescent="0.25">
      <c r="A101" s="17" t="s">
        <v>423</v>
      </c>
      <c r="B101" s="31"/>
      <c r="C101" s="34" t="s">
        <v>46</v>
      </c>
      <c r="D101" s="34" t="s">
        <v>17</v>
      </c>
      <c r="E101" s="34" t="s">
        <v>422</v>
      </c>
      <c r="F101" s="34"/>
      <c r="G101" s="39"/>
      <c r="I101" s="39"/>
      <c r="K101" s="39">
        <f>K102</f>
        <v>140</v>
      </c>
      <c r="L101" s="51"/>
      <c r="M101" s="39">
        <f>M102</f>
        <v>140</v>
      </c>
      <c r="N101" s="51"/>
      <c r="O101" s="66">
        <f>O102</f>
        <v>140</v>
      </c>
      <c r="Q101" s="66">
        <f>Q102</f>
        <v>140</v>
      </c>
    </row>
    <row r="102" spans="1:17" ht="16.5" customHeight="1" x14ac:dyDescent="0.25">
      <c r="A102" s="17" t="s">
        <v>225</v>
      </c>
      <c r="B102" s="31"/>
      <c r="C102" s="34" t="s">
        <v>46</v>
      </c>
      <c r="D102" s="34" t="s">
        <v>17</v>
      </c>
      <c r="E102" s="34" t="s">
        <v>422</v>
      </c>
      <c r="F102" s="34" t="s">
        <v>211</v>
      </c>
      <c r="G102" s="39"/>
      <c r="I102" s="39"/>
      <c r="J102" s="51">
        <v>140</v>
      </c>
      <c r="K102" s="39">
        <f>I102+J102</f>
        <v>140</v>
      </c>
      <c r="L102" s="51"/>
      <c r="M102" s="39">
        <f>K102+L102</f>
        <v>140</v>
      </c>
      <c r="N102" s="51"/>
      <c r="O102" s="66">
        <f>M102+N102</f>
        <v>140</v>
      </c>
      <c r="Q102" s="66">
        <f>O102+P102</f>
        <v>140</v>
      </c>
    </row>
    <row r="103" spans="1:17" ht="16.5" customHeight="1" x14ac:dyDescent="0.25">
      <c r="A103" s="17" t="s">
        <v>634</v>
      </c>
      <c r="B103" s="31"/>
      <c r="C103" s="34" t="s">
        <v>46</v>
      </c>
      <c r="D103" s="34" t="s">
        <v>17</v>
      </c>
      <c r="E103" s="34" t="s">
        <v>418</v>
      </c>
      <c r="F103" s="34"/>
      <c r="G103" s="39"/>
      <c r="I103" s="39"/>
      <c r="K103" s="39"/>
      <c r="L103" s="51"/>
      <c r="M103" s="39"/>
      <c r="N103" s="51"/>
      <c r="O103" s="66">
        <f>O104+O105</f>
        <v>234.33999999999997</v>
      </c>
      <c r="Q103" s="66">
        <f>Q104+Q105</f>
        <v>234.33999999999997</v>
      </c>
    </row>
    <row r="104" spans="1:17" ht="16.5" customHeight="1" x14ac:dyDescent="0.25">
      <c r="A104" s="17" t="s">
        <v>209</v>
      </c>
      <c r="B104" s="31"/>
      <c r="C104" s="34" t="s">
        <v>46</v>
      </c>
      <c r="D104" s="34" t="s">
        <v>17</v>
      </c>
      <c r="E104" s="34" t="s">
        <v>418</v>
      </c>
      <c r="F104" s="34" t="s">
        <v>210</v>
      </c>
      <c r="G104" s="39"/>
      <c r="I104" s="39"/>
      <c r="K104" s="39"/>
      <c r="L104" s="51"/>
      <c r="M104" s="39"/>
      <c r="N104" s="51">
        <v>99.74</v>
      </c>
      <c r="O104" s="66">
        <f t="shared" ref="O104:Q105" si="3">M104+N104</f>
        <v>99.74</v>
      </c>
      <c r="Q104" s="66">
        <f t="shared" si="3"/>
        <v>99.74</v>
      </c>
    </row>
    <row r="105" spans="1:17" ht="16.5" customHeight="1" x14ac:dyDescent="0.25">
      <c r="A105" s="17" t="s">
        <v>578</v>
      </c>
      <c r="B105" s="31"/>
      <c r="C105" s="34" t="s">
        <v>46</v>
      </c>
      <c r="D105" s="34" t="s">
        <v>17</v>
      </c>
      <c r="E105" s="34" t="s">
        <v>418</v>
      </c>
      <c r="F105" s="34" t="s">
        <v>211</v>
      </c>
      <c r="G105" s="39"/>
      <c r="I105" s="39"/>
      <c r="K105" s="39"/>
      <c r="L105" s="51"/>
      <c r="M105" s="39"/>
      <c r="N105" s="51">
        <v>134.6</v>
      </c>
      <c r="O105" s="66">
        <f t="shared" si="3"/>
        <v>134.6</v>
      </c>
      <c r="Q105" s="66">
        <f t="shared" si="3"/>
        <v>134.6</v>
      </c>
    </row>
    <row r="106" spans="1:17" ht="16.5" customHeight="1" x14ac:dyDescent="0.25">
      <c r="A106" s="36" t="s">
        <v>48</v>
      </c>
      <c r="B106" s="31"/>
      <c r="C106" s="31" t="s">
        <v>46</v>
      </c>
      <c r="D106" s="31" t="s">
        <v>20</v>
      </c>
      <c r="E106" s="31"/>
      <c r="F106" s="31"/>
      <c r="G106" s="40"/>
      <c r="H106" s="52"/>
      <c r="I106" s="40"/>
      <c r="J106" s="52"/>
      <c r="K106" s="40"/>
      <c r="L106" s="52"/>
      <c r="M106" s="40">
        <f>M107</f>
        <v>9</v>
      </c>
      <c r="N106" s="52"/>
      <c r="O106" s="65">
        <f>O107</f>
        <v>9</v>
      </c>
      <c r="Q106" s="65">
        <f>Q107</f>
        <v>9</v>
      </c>
    </row>
    <row r="107" spans="1:17" ht="32.25" customHeight="1" x14ac:dyDescent="0.25">
      <c r="A107" s="17" t="s">
        <v>510</v>
      </c>
      <c r="B107" s="34"/>
      <c r="C107" s="34" t="s">
        <v>46</v>
      </c>
      <c r="D107" s="34" t="s">
        <v>20</v>
      </c>
      <c r="E107" s="34" t="s">
        <v>372</v>
      </c>
      <c r="F107" s="34"/>
      <c r="G107" s="39"/>
      <c r="I107" s="39"/>
      <c r="K107" s="39"/>
      <c r="L107" s="51"/>
      <c r="M107" s="39">
        <f>M108</f>
        <v>9</v>
      </c>
      <c r="N107" s="51"/>
      <c r="O107" s="66">
        <f>O108</f>
        <v>9</v>
      </c>
      <c r="Q107" s="66">
        <f>Q108</f>
        <v>9</v>
      </c>
    </row>
    <row r="108" spans="1:17" ht="16.5" customHeight="1" x14ac:dyDescent="0.25">
      <c r="A108" s="17" t="s">
        <v>225</v>
      </c>
      <c r="B108" s="34"/>
      <c r="C108" s="34" t="s">
        <v>46</v>
      </c>
      <c r="D108" s="34" t="s">
        <v>20</v>
      </c>
      <c r="E108" s="34" t="s">
        <v>372</v>
      </c>
      <c r="F108" s="34" t="s">
        <v>211</v>
      </c>
      <c r="G108" s="39"/>
      <c r="I108" s="39"/>
      <c r="K108" s="39"/>
      <c r="L108" s="51">
        <v>9</v>
      </c>
      <c r="M108" s="39">
        <f>K108+L108</f>
        <v>9</v>
      </c>
      <c r="N108" s="51"/>
      <c r="O108" s="66">
        <f>M108+N108</f>
        <v>9</v>
      </c>
      <c r="Q108" s="66">
        <f>O108+P108</f>
        <v>9</v>
      </c>
    </row>
    <row r="109" spans="1:17" ht="17.25" customHeight="1" x14ac:dyDescent="0.25">
      <c r="A109" s="36" t="s">
        <v>51</v>
      </c>
      <c r="B109" s="31"/>
      <c r="C109" s="31" t="s">
        <v>46</v>
      </c>
      <c r="D109" s="31" t="s">
        <v>46</v>
      </c>
      <c r="E109" s="31"/>
      <c r="F109" s="31"/>
      <c r="G109" s="40">
        <f>G110</f>
        <v>446.9</v>
      </c>
      <c r="I109" s="40">
        <f>I110</f>
        <v>1379.9</v>
      </c>
      <c r="K109" s="40">
        <f>K110</f>
        <v>1294.9000000000001</v>
      </c>
      <c r="L109" s="51"/>
      <c r="M109" s="40">
        <f>M110</f>
        <v>1294.9000000000001</v>
      </c>
      <c r="N109" s="51"/>
      <c r="O109" s="65">
        <f>O110</f>
        <v>1294.9000000000001</v>
      </c>
      <c r="Q109" s="65">
        <f>Q110</f>
        <v>1294.9000000000001</v>
      </c>
    </row>
    <row r="110" spans="1:17" x14ac:dyDescent="0.25">
      <c r="A110" s="17" t="s">
        <v>223</v>
      </c>
      <c r="B110" s="34"/>
      <c r="C110" s="34" t="s">
        <v>46</v>
      </c>
      <c r="D110" s="34" t="s">
        <v>46</v>
      </c>
      <c r="E110" s="34" t="s">
        <v>222</v>
      </c>
      <c r="F110" s="34"/>
      <c r="G110" s="39">
        <f>G111+G112</f>
        <v>446.9</v>
      </c>
      <c r="I110" s="39">
        <f>I111+I112</f>
        <v>1379.9</v>
      </c>
      <c r="K110" s="39">
        <f>K111+K112</f>
        <v>1294.9000000000001</v>
      </c>
      <c r="L110" s="51"/>
      <c r="M110" s="39">
        <f>M111+M112</f>
        <v>1294.9000000000001</v>
      </c>
      <c r="N110" s="51"/>
      <c r="O110" s="66">
        <f>O111+O112</f>
        <v>1294.9000000000001</v>
      </c>
      <c r="Q110" s="66">
        <f>Q111+Q112</f>
        <v>1294.9000000000001</v>
      </c>
    </row>
    <row r="111" spans="1:17" x14ac:dyDescent="0.25">
      <c r="A111" s="17" t="s">
        <v>205</v>
      </c>
      <c r="B111" s="34"/>
      <c r="C111" s="34" t="s">
        <v>46</v>
      </c>
      <c r="D111" s="34" t="s">
        <v>46</v>
      </c>
      <c r="E111" s="34" t="s">
        <v>222</v>
      </c>
      <c r="F111" s="34" t="s">
        <v>206</v>
      </c>
      <c r="G111" s="39">
        <v>366.9</v>
      </c>
      <c r="H111" s="51">
        <f>300+543+90</f>
        <v>933</v>
      </c>
      <c r="I111" s="39">
        <f>G111+H111</f>
        <v>1299.9000000000001</v>
      </c>
      <c r="J111" s="51">
        <v>-85</v>
      </c>
      <c r="K111" s="39">
        <f>I111+J111</f>
        <v>1214.9000000000001</v>
      </c>
      <c r="L111" s="51"/>
      <c r="M111" s="39">
        <f>K111+L111</f>
        <v>1214.9000000000001</v>
      </c>
      <c r="N111" s="51"/>
      <c r="O111" s="66">
        <f>M111+N111</f>
        <v>1214.9000000000001</v>
      </c>
      <c r="Q111" s="66">
        <f>O111+P111</f>
        <v>1214.9000000000001</v>
      </c>
    </row>
    <row r="112" spans="1:17" ht="15" customHeight="1" x14ac:dyDescent="0.25">
      <c r="A112" s="17" t="s">
        <v>225</v>
      </c>
      <c r="B112" s="34"/>
      <c r="C112" s="34" t="s">
        <v>46</v>
      </c>
      <c r="D112" s="34" t="s">
        <v>46</v>
      </c>
      <c r="E112" s="34" t="s">
        <v>222</v>
      </c>
      <c r="F112" s="34" t="s">
        <v>211</v>
      </c>
      <c r="G112" s="39">
        <v>80</v>
      </c>
      <c r="I112" s="39">
        <f>G112+H112</f>
        <v>80</v>
      </c>
      <c r="K112" s="39">
        <f>I112+J112</f>
        <v>80</v>
      </c>
      <c r="L112" s="51"/>
      <c r="M112" s="39">
        <f>K112+L112</f>
        <v>80</v>
      </c>
      <c r="N112" s="51"/>
      <c r="O112" s="66">
        <f>M112+N112</f>
        <v>80</v>
      </c>
      <c r="Q112" s="66">
        <f>O112+P112</f>
        <v>80</v>
      </c>
    </row>
    <row r="113" spans="1:17" x14ac:dyDescent="0.25">
      <c r="A113" s="36" t="s">
        <v>55</v>
      </c>
      <c r="B113" s="31"/>
      <c r="C113" s="31" t="s">
        <v>56</v>
      </c>
      <c r="D113" s="31"/>
      <c r="E113" s="31"/>
      <c r="F113" s="31"/>
      <c r="G113" s="40">
        <f>G117+G122</f>
        <v>3325.63</v>
      </c>
      <c r="I113" s="40">
        <f>I117+I122</f>
        <v>3325.63</v>
      </c>
      <c r="K113" s="40">
        <f>K117+K122</f>
        <v>3325.63</v>
      </c>
      <c r="L113" s="51"/>
      <c r="M113" s="40">
        <f>M117+M122+M114</f>
        <v>5977.95</v>
      </c>
      <c r="N113" s="51"/>
      <c r="O113" s="65">
        <f>O117+O122+O114</f>
        <v>5977.95</v>
      </c>
      <c r="Q113" s="65">
        <f>Q117+Q122+Q114</f>
        <v>5977.95</v>
      </c>
    </row>
    <row r="114" spans="1:17" x14ac:dyDescent="0.25">
      <c r="A114" s="36" t="s">
        <v>80</v>
      </c>
      <c r="B114" s="31"/>
      <c r="C114" s="31" t="s">
        <v>56</v>
      </c>
      <c r="D114" s="31" t="s">
        <v>17</v>
      </c>
      <c r="E114" s="31"/>
      <c r="F114" s="31"/>
      <c r="G114" s="40"/>
      <c r="H114" s="52"/>
      <c r="I114" s="40"/>
      <c r="J114" s="52"/>
      <c r="K114" s="40"/>
      <c r="L114" s="52"/>
      <c r="M114" s="40">
        <f>M115</f>
        <v>44</v>
      </c>
      <c r="N114" s="52"/>
      <c r="O114" s="65">
        <f>O115</f>
        <v>44</v>
      </c>
      <c r="Q114" s="65">
        <f>Q115</f>
        <v>44</v>
      </c>
    </row>
    <row r="115" spans="1:17" ht="15.75" customHeight="1" x14ac:dyDescent="0.25">
      <c r="A115" s="17" t="s">
        <v>512</v>
      </c>
      <c r="B115" s="34"/>
      <c r="C115" s="34" t="s">
        <v>56</v>
      </c>
      <c r="D115" s="34" t="s">
        <v>17</v>
      </c>
      <c r="E115" s="34" t="s">
        <v>511</v>
      </c>
      <c r="F115" s="34"/>
      <c r="G115" s="39"/>
      <c r="I115" s="39"/>
      <c r="K115" s="39"/>
      <c r="L115" s="51"/>
      <c r="M115" s="39">
        <f>M116</f>
        <v>44</v>
      </c>
      <c r="N115" s="51"/>
      <c r="O115" s="66">
        <f>O116</f>
        <v>44</v>
      </c>
      <c r="Q115" s="66">
        <f>Q116</f>
        <v>44</v>
      </c>
    </row>
    <row r="116" spans="1:17" x14ac:dyDescent="0.25">
      <c r="A116" s="17" t="s">
        <v>225</v>
      </c>
      <c r="B116" s="34"/>
      <c r="C116" s="34" t="s">
        <v>56</v>
      </c>
      <c r="D116" s="34" t="s">
        <v>17</v>
      </c>
      <c r="E116" s="34" t="s">
        <v>511</v>
      </c>
      <c r="F116" s="34" t="s">
        <v>211</v>
      </c>
      <c r="G116" s="39"/>
      <c r="I116" s="39"/>
      <c r="K116" s="39"/>
      <c r="L116" s="51">
        <v>44</v>
      </c>
      <c r="M116" s="39">
        <f>K116+L116</f>
        <v>44</v>
      </c>
      <c r="N116" s="51"/>
      <c r="O116" s="66">
        <f>M116+N116</f>
        <v>44</v>
      </c>
      <c r="Q116" s="66">
        <f>O116+P116</f>
        <v>44</v>
      </c>
    </row>
    <row r="117" spans="1:17" x14ac:dyDescent="0.25">
      <c r="A117" s="36" t="s">
        <v>59</v>
      </c>
      <c r="B117" s="31"/>
      <c r="C117" s="31" t="s">
        <v>56</v>
      </c>
      <c r="D117" s="31" t="s">
        <v>56</v>
      </c>
      <c r="E117" s="31"/>
      <c r="F117" s="31"/>
      <c r="G117" s="40">
        <f>G118+G120</f>
        <v>810</v>
      </c>
      <c r="I117" s="40">
        <f>I118+I120</f>
        <v>810</v>
      </c>
      <c r="K117" s="40">
        <f>K118+K120</f>
        <v>810</v>
      </c>
      <c r="L117" s="51"/>
      <c r="M117" s="40">
        <f>M118+M120</f>
        <v>810</v>
      </c>
      <c r="N117" s="51"/>
      <c r="O117" s="65">
        <f>O118+O120</f>
        <v>810</v>
      </c>
      <c r="Q117" s="65">
        <f>Q118+Q120</f>
        <v>810</v>
      </c>
    </row>
    <row r="118" spans="1:17" x14ac:dyDescent="0.25">
      <c r="A118" s="17" t="s">
        <v>60</v>
      </c>
      <c r="B118" s="34"/>
      <c r="C118" s="34" t="s">
        <v>56</v>
      </c>
      <c r="D118" s="34" t="s">
        <v>56</v>
      </c>
      <c r="E118" s="34" t="s">
        <v>224</v>
      </c>
      <c r="F118" s="34"/>
      <c r="G118" s="39">
        <f>G119</f>
        <v>680</v>
      </c>
      <c r="I118" s="39">
        <f>I119</f>
        <v>680</v>
      </c>
      <c r="K118" s="39">
        <f>K119</f>
        <v>680</v>
      </c>
      <c r="L118" s="51"/>
      <c r="M118" s="39">
        <f>M119</f>
        <v>680</v>
      </c>
      <c r="N118" s="51"/>
      <c r="O118" s="66">
        <f>O119</f>
        <v>680</v>
      </c>
      <c r="Q118" s="66">
        <f>Q119</f>
        <v>680</v>
      </c>
    </row>
    <row r="119" spans="1:17" ht="15.75" customHeight="1" x14ac:dyDescent="0.25">
      <c r="A119" s="37" t="s">
        <v>225</v>
      </c>
      <c r="B119" s="34"/>
      <c r="C119" s="34" t="s">
        <v>56</v>
      </c>
      <c r="D119" s="34" t="s">
        <v>56</v>
      </c>
      <c r="E119" s="34" t="s">
        <v>224</v>
      </c>
      <c r="F119" s="34" t="s">
        <v>211</v>
      </c>
      <c r="G119" s="39">
        <v>680</v>
      </c>
      <c r="I119" s="39">
        <f>G119+H119</f>
        <v>680</v>
      </c>
      <c r="K119" s="39">
        <f>I119+J119</f>
        <v>680</v>
      </c>
      <c r="L119" s="51"/>
      <c r="M119" s="39">
        <f>K119+L119</f>
        <v>680</v>
      </c>
      <c r="N119" s="51"/>
      <c r="O119" s="66">
        <f>M119+N119</f>
        <v>680</v>
      </c>
      <c r="Q119" s="66">
        <f>O119+P119</f>
        <v>680</v>
      </c>
    </row>
    <row r="120" spans="1:17" x14ac:dyDescent="0.25">
      <c r="A120" s="17" t="s">
        <v>260</v>
      </c>
      <c r="B120" s="34"/>
      <c r="C120" s="34" t="s">
        <v>56</v>
      </c>
      <c r="D120" s="34" t="s">
        <v>56</v>
      </c>
      <c r="E120" s="34" t="s">
        <v>258</v>
      </c>
      <c r="F120" s="34"/>
      <c r="G120" s="39">
        <f>G121</f>
        <v>130</v>
      </c>
      <c r="I120" s="39">
        <f>I121</f>
        <v>130</v>
      </c>
      <c r="K120" s="39">
        <f>K121</f>
        <v>130</v>
      </c>
      <c r="L120" s="51"/>
      <c r="M120" s="39">
        <f>M121</f>
        <v>130</v>
      </c>
      <c r="N120" s="51"/>
      <c r="O120" s="66">
        <f>O121</f>
        <v>130</v>
      </c>
      <c r="Q120" s="66">
        <f>Q121</f>
        <v>130</v>
      </c>
    </row>
    <row r="121" spans="1:17" x14ac:dyDescent="0.25">
      <c r="A121" s="17" t="s">
        <v>275</v>
      </c>
      <c r="B121" s="34"/>
      <c r="C121" s="34" t="s">
        <v>56</v>
      </c>
      <c r="D121" s="34" t="s">
        <v>56</v>
      </c>
      <c r="E121" s="34" t="s">
        <v>258</v>
      </c>
      <c r="F121" s="34" t="s">
        <v>276</v>
      </c>
      <c r="G121" s="39">
        <v>130</v>
      </c>
      <c r="I121" s="39">
        <f>G121+H121</f>
        <v>130</v>
      </c>
      <c r="K121" s="39">
        <f>I121+J121</f>
        <v>130</v>
      </c>
      <c r="L121" s="51"/>
      <c r="M121" s="39">
        <f>K121+L121</f>
        <v>130</v>
      </c>
      <c r="N121" s="51"/>
      <c r="O121" s="66">
        <f>M121+N121</f>
        <v>130</v>
      </c>
      <c r="Q121" s="66">
        <f>O121+P121</f>
        <v>130</v>
      </c>
    </row>
    <row r="122" spans="1:17" x14ac:dyDescent="0.25">
      <c r="A122" s="36" t="s">
        <v>62</v>
      </c>
      <c r="B122" s="31"/>
      <c r="C122" s="31" t="s">
        <v>56</v>
      </c>
      <c r="D122" s="31" t="s">
        <v>63</v>
      </c>
      <c r="E122" s="31"/>
      <c r="F122" s="31"/>
      <c r="G122" s="40">
        <f>G123+G127+G129+G125+G131</f>
        <v>2515.63</v>
      </c>
      <c r="I122" s="40">
        <f>I123+I127+I129+I125+I131</f>
        <v>2515.63</v>
      </c>
      <c r="K122" s="40">
        <f>K123+K127+K129+K125+K131</f>
        <v>2515.63</v>
      </c>
      <c r="L122" s="51"/>
      <c r="M122" s="40">
        <f>M123+M127+M129+M125+M131</f>
        <v>5123.95</v>
      </c>
      <c r="N122" s="51"/>
      <c r="O122" s="65">
        <f>O123+O127+O129+O125+O131</f>
        <v>5123.95</v>
      </c>
      <c r="Q122" s="65">
        <f>Q123+Q127+Q129+Q125+Q131</f>
        <v>5123.95</v>
      </c>
    </row>
    <row r="123" spans="1:17" x14ac:dyDescent="0.25">
      <c r="A123" s="17" t="s">
        <v>60</v>
      </c>
      <c r="B123" s="34"/>
      <c r="C123" s="34" t="s">
        <v>56</v>
      </c>
      <c r="D123" s="34" t="s">
        <v>63</v>
      </c>
      <c r="E123" s="34" t="s">
        <v>226</v>
      </c>
      <c r="F123" s="34"/>
      <c r="G123" s="39">
        <f>G124</f>
        <v>470</v>
      </c>
      <c r="I123" s="39">
        <f>I124</f>
        <v>470</v>
      </c>
      <c r="K123" s="39">
        <f>K124</f>
        <v>470</v>
      </c>
      <c r="L123" s="51"/>
      <c r="M123" s="39">
        <f>M124</f>
        <v>470</v>
      </c>
      <c r="N123" s="51"/>
      <c r="O123" s="66">
        <f>O124</f>
        <v>470</v>
      </c>
      <c r="Q123" s="66">
        <f>Q124</f>
        <v>470</v>
      </c>
    </row>
    <row r="124" spans="1:17" x14ac:dyDescent="0.25">
      <c r="A124" s="37" t="s">
        <v>225</v>
      </c>
      <c r="B124" s="34"/>
      <c r="C124" s="34" t="s">
        <v>56</v>
      </c>
      <c r="D124" s="34" t="s">
        <v>63</v>
      </c>
      <c r="E124" s="34" t="s">
        <v>226</v>
      </c>
      <c r="F124" s="34" t="s">
        <v>211</v>
      </c>
      <c r="G124" s="39">
        <v>470</v>
      </c>
      <c r="I124" s="39">
        <f>G124+H124</f>
        <v>470</v>
      </c>
      <c r="K124" s="39">
        <f>I124+J124</f>
        <v>470</v>
      </c>
      <c r="L124" s="51"/>
      <c r="M124" s="39">
        <f>K124+L124</f>
        <v>470</v>
      </c>
      <c r="N124" s="51"/>
      <c r="O124" s="66">
        <f>M124+N124</f>
        <v>470</v>
      </c>
      <c r="Q124" s="66">
        <f>O124+P124</f>
        <v>470</v>
      </c>
    </row>
    <row r="125" spans="1:17" x14ac:dyDescent="0.25">
      <c r="A125" s="37" t="s">
        <v>386</v>
      </c>
      <c r="B125" s="34"/>
      <c r="C125" s="34" t="s">
        <v>56</v>
      </c>
      <c r="D125" s="34" t="s">
        <v>63</v>
      </c>
      <c r="E125" s="34" t="s">
        <v>385</v>
      </c>
      <c r="F125" s="34"/>
      <c r="G125" s="39">
        <f>G126</f>
        <v>330</v>
      </c>
      <c r="I125" s="39">
        <f>I126</f>
        <v>330</v>
      </c>
      <c r="K125" s="39">
        <f>K126</f>
        <v>330</v>
      </c>
      <c r="L125" s="51"/>
      <c r="M125" s="39">
        <f>M126</f>
        <v>330</v>
      </c>
      <c r="N125" s="51"/>
      <c r="O125" s="66">
        <f>O126</f>
        <v>330</v>
      </c>
      <c r="Q125" s="66">
        <f>Q126</f>
        <v>330</v>
      </c>
    </row>
    <row r="126" spans="1:17" x14ac:dyDescent="0.25">
      <c r="A126" s="37" t="s">
        <v>225</v>
      </c>
      <c r="B126" s="34"/>
      <c r="C126" s="34" t="s">
        <v>56</v>
      </c>
      <c r="D126" s="34" t="s">
        <v>63</v>
      </c>
      <c r="E126" s="34" t="s">
        <v>385</v>
      </c>
      <c r="F126" s="34" t="s">
        <v>211</v>
      </c>
      <c r="G126" s="39">
        <v>330</v>
      </c>
      <c r="I126" s="39">
        <f>G126+H126</f>
        <v>330</v>
      </c>
      <c r="K126" s="39">
        <f>I126+J126</f>
        <v>330</v>
      </c>
      <c r="L126" s="51"/>
      <c r="M126" s="39">
        <f>K126+L126</f>
        <v>330</v>
      </c>
      <c r="N126" s="51"/>
      <c r="O126" s="66">
        <f>M126+N126</f>
        <v>330</v>
      </c>
      <c r="Q126" s="66">
        <f>O126+P126</f>
        <v>330</v>
      </c>
    </row>
    <row r="127" spans="1:17" ht="31.5" customHeight="1" x14ac:dyDescent="0.25">
      <c r="A127" s="17" t="s">
        <v>357</v>
      </c>
      <c r="B127" s="34"/>
      <c r="C127" s="34" t="s">
        <v>56</v>
      </c>
      <c r="D127" s="34" t="s">
        <v>63</v>
      </c>
      <c r="E127" s="34" t="s">
        <v>314</v>
      </c>
      <c r="F127" s="34"/>
      <c r="G127" s="39">
        <f>G128</f>
        <v>415.63</v>
      </c>
      <c r="I127" s="39">
        <f>I128</f>
        <v>415.63</v>
      </c>
      <c r="K127" s="39">
        <f>K128</f>
        <v>415.63</v>
      </c>
      <c r="L127" s="51"/>
      <c r="M127" s="39">
        <f>M128</f>
        <v>3023.95</v>
      </c>
      <c r="N127" s="51"/>
      <c r="O127" s="66">
        <f>O128</f>
        <v>3023.95</v>
      </c>
      <c r="Q127" s="66">
        <f>Q128</f>
        <v>3023.95</v>
      </c>
    </row>
    <row r="128" spans="1:17" x14ac:dyDescent="0.25">
      <c r="A128" s="37" t="s">
        <v>225</v>
      </c>
      <c r="B128" s="34"/>
      <c r="C128" s="34" t="s">
        <v>56</v>
      </c>
      <c r="D128" s="34" t="s">
        <v>63</v>
      </c>
      <c r="E128" s="34" t="s">
        <v>314</v>
      </c>
      <c r="F128" s="34" t="s">
        <v>211</v>
      </c>
      <c r="G128" s="39">
        <v>415.63</v>
      </c>
      <c r="I128" s="39">
        <f>G128+H128</f>
        <v>415.63</v>
      </c>
      <c r="K128" s="39">
        <f>I128+J128</f>
        <v>415.63</v>
      </c>
      <c r="L128" s="51">
        <f>1321.32+1287</f>
        <v>2608.3199999999997</v>
      </c>
      <c r="M128" s="39">
        <f>K128+L128</f>
        <v>3023.95</v>
      </c>
      <c r="N128" s="51"/>
      <c r="O128" s="66">
        <f>M128+N128</f>
        <v>3023.95</v>
      </c>
      <c r="Q128" s="66">
        <f>O128+P128</f>
        <v>3023.95</v>
      </c>
    </row>
    <row r="129" spans="1:17" ht="31.5" customHeight="1" x14ac:dyDescent="0.25">
      <c r="A129" s="17" t="s">
        <v>358</v>
      </c>
      <c r="B129" s="34"/>
      <c r="C129" s="34" t="s">
        <v>56</v>
      </c>
      <c r="D129" s="34" t="s">
        <v>63</v>
      </c>
      <c r="E129" s="34" t="s">
        <v>284</v>
      </c>
      <c r="F129" s="34"/>
      <c r="G129" s="39">
        <f>G130</f>
        <v>300</v>
      </c>
      <c r="I129" s="39">
        <f>I130</f>
        <v>300</v>
      </c>
      <c r="K129" s="39">
        <f>K130</f>
        <v>300</v>
      </c>
      <c r="L129" s="51"/>
      <c r="M129" s="39">
        <f>M130</f>
        <v>300</v>
      </c>
      <c r="N129" s="51"/>
      <c r="O129" s="66">
        <f>O130</f>
        <v>300</v>
      </c>
      <c r="Q129" s="66">
        <f>Q130</f>
        <v>300</v>
      </c>
    </row>
    <row r="130" spans="1:17" x14ac:dyDescent="0.25">
      <c r="A130" s="37" t="s">
        <v>225</v>
      </c>
      <c r="B130" s="34"/>
      <c r="C130" s="34" t="s">
        <v>56</v>
      </c>
      <c r="D130" s="34" t="s">
        <v>63</v>
      </c>
      <c r="E130" s="34" t="s">
        <v>284</v>
      </c>
      <c r="F130" s="34" t="s">
        <v>211</v>
      </c>
      <c r="G130" s="39">
        <v>300</v>
      </c>
      <c r="I130" s="39">
        <f>G130+H130</f>
        <v>300</v>
      </c>
      <c r="K130" s="39">
        <f>I130+J130</f>
        <v>300</v>
      </c>
      <c r="L130" s="51"/>
      <c r="M130" s="39">
        <f>K130+L130</f>
        <v>300</v>
      </c>
      <c r="N130" s="51"/>
      <c r="O130" s="66">
        <f>M130+N130</f>
        <v>300</v>
      </c>
      <c r="Q130" s="66">
        <f>O130+P130</f>
        <v>300</v>
      </c>
    </row>
    <row r="131" spans="1:17" ht="15" customHeight="1" x14ac:dyDescent="0.25">
      <c r="A131" s="17" t="s">
        <v>398</v>
      </c>
      <c r="B131" s="34"/>
      <c r="C131" s="34" t="s">
        <v>56</v>
      </c>
      <c r="D131" s="34" t="s">
        <v>63</v>
      </c>
      <c r="E131" s="34" t="s">
        <v>399</v>
      </c>
      <c r="F131" s="34"/>
      <c r="G131" s="39">
        <f>G132</f>
        <v>1000</v>
      </c>
      <c r="I131" s="39">
        <f>I132</f>
        <v>1000</v>
      </c>
      <c r="K131" s="39">
        <f>K132</f>
        <v>1000</v>
      </c>
      <c r="L131" s="51"/>
      <c r="M131" s="39">
        <f>M132</f>
        <v>1000</v>
      </c>
      <c r="N131" s="51"/>
      <c r="O131" s="66">
        <f>O132</f>
        <v>1000</v>
      </c>
      <c r="Q131" s="66">
        <f>Q132</f>
        <v>1000</v>
      </c>
    </row>
    <row r="132" spans="1:17" ht="15.75" customHeight="1" x14ac:dyDescent="0.25">
      <c r="A132" s="37" t="s">
        <v>225</v>
      </c>
      <c r="B132" s="34"/>
      <c r="C132" s="34" t="s">
        <v>56</v>
      </c>
      <c r="D132" s="34" t="s">
        <v>63</v>
      </c>
      <c r="E132" s="34" t="s">
        <v>399</v>
      </c>
      <c r="F132" s="34" t="s">
        <v>211</v>
      </c>
      <c r="G132" s="39">
        <v>1000</v>
      </c>
      <c r="I132" s="39">
        <f>G132+H132</f>
        <v>1000</v>
      </c>
      <c r="K132" s="39">
        <f>I132+J132</f>
        <v>1000</v>
      </c>
      <c r="L132" s="51"/>
      <c r="M132" s="39">
        <f>K132+L132</f>
        <v>1000</v>
      </c>
      <c r="N132" s="51"/>
      <c r="O132" s="66">
        <f>M132+N132</f>
        <v>1000</v>
      </c>
      <c r="Q132" s="66">
        <f>O132+P132</f>
        <v>1000</v>
      </c>
    </row>
    <row r="133" spans="1:17" x14ac:dyDescent="0.25">
      <c r="A133" s="36" t="s">
        <v>228</v>
      </c>
      <c r="B133" s="31"/>
      <c r="C133" s="31" t="s">
        <v>43</v>
      </c>
      <c r="D133" s="31"/>
      <c r="E133" s="31"/>
      <c r="F133" s="31"/>
      <c r="G133" s="40">
        <f>G134</f>
        <v>800</v>
      </c>
      <c r="I133" s="40">
        <f>I134</f>
        <v>800</v>
      </c>
      <c r="K133" s="40">
        <f>K134</f>
        <v>800</v>
      </c>
      <c r="L133" s="51"/>
      <c r="M133" s="40">
        <f>M134</f>
        <v>800</v>
      </c>
      <c r="N133" s="51"/>
      <c r="O133" s="65">
        <f>O134</f>
        <v>800</v>
      </c>
      <c r="Q133" s="65">
        <f>Q134</f>
        <v>800</v>
      </c>
    </row>
    <row r="134" spans="1:17" x14ac:dyDescent="0.25">
      <c r="A134" s="36" t="s">
        <v>148</v>
      </c>
      <c r="B134" s="31"/>
      <c r="C134" s="31" t="s">
        <v>43</v>
      </c>
      <c r="D134" s="31" t="s">
        <v>15</v>
      </c>
      <c r="E134" s="31"/>
      <c r="F134" s="31"/>
      <c r="G134" s="40">
        <f>G135</f>
        <v>800</v>
      </c>
      <c r="I134" s="40">
        <f>I135</f>
        <v>800</v>
      </c>
      <c r="K134" s="40">
        <f>K135</f>
        <v>800</v>
      </c>
      <c r="L134" s="51"/>
      <c r="M134" s="40">
        <f>M135</f>
        <v>800</v>
      </c>
      <c r="N134" s="51"/>
      <c r="O134" s="65">
        <f>O135</f>
        <v>800</v>
      </c>
      <c r="Q134" s="65">
        <f>Q135</f>
        <v>800</v>
      </c>
    </row>
    <row r="135" spans="1:17" ht="17.25" customHeight="1" x14ac:dyDescent="0.25">
      <c r="A135" s="17" t="s">
        <v>229</v>
      </c>
      <c r="B135" s="34"/>
      <c r="C135" s="34" t="s">
        <v>43</v>
      </c>
      <c r="D135" s="34" t="s">
        <v>15</v>
      </c>
      <c r="E135" s="34" t="s">
        <v>227</v>
      </c>
      <c r="F135" s="34"/>
      <c r="G135" s="39">
        <f>G136</f>
        <v>800</v>
      </c>
      <c r="I135" s="39">
        <f>I136</f>
        <v>800</v>
      </c>
      <c r="K135" s="39">
        <f>K136</f>
        <v>800</v>
      </c>
      <c r="L135" s="51"/>
      <c r="M135" s="39">
        <f>M136</f>
        <v>800</v>
      </c>
      <c r="N135" s="51"/>
      <c r="O135" s="66">
        <f>O136</f>
        <v>800</v>
      </c>
      <c r="Q135" s="66">
        <f>Q136</f>
        <v>800</v>
      </c>
    </row>
    <row r="136" spans="1:17" x14ac:dyDescent="0.25">
      <c r="A136" s="37" t="s">
        <v>225</v>
      </c>
      <c r="B136" s="34"/>
      <c r="C136" s="34" t="s">
        <v>43</v>
      </c>
      <c r="D136" s="34" t="s">
        <v>15</v>
      </c>
      <c r="E136" s="34" t="s">
        <v>227</v>
      </c>
      <c r="F136" s="34" t="s">
        <v>211</v>
      </c>
      <c r="G136" s="39">
        <v>800</v>
      </c>
      <c r="I136" s="39">
        <f>G136+H136</f>
        <v>800</v>
      </c>
      <c r="K136" s="39">
        <f>I136+J136</f>
        <v>800</v>
      </c>
      <c r="L136" s="51"/>
      <c r="M136" s="39">
        <f>K136+L136</f>
        <v>800</v>
      </c>
      <c r="N136" s="51"/>
      <c r="O136" s="66">
        <f>M136+N136</f>
        <v>800</v>
      </c>
      <c r="Q136" s="66">
        <f>O136+P136</f>
        <v>800</v>
      </c>
    </row>
    <row r="137" spans="1:17" x14ac:dyDescent="0.25">
      <c r="A137" s="36" t="s">
        <v>67</v>
      </c>
      <c r="B137" s="31"/>
      <c r="C137" s="31" t="s">
        <v>68</v>
      </c>
      <c r="D137" s="31"/>
      <c r="E137" s="31"/>
      <c r="F137" s="31"/>
      <c r="G137" s="40">
        <f>G138+G141</f>
        <v>4934.12</v>
      </c>
      <c r="I137" s="40">
        <f>I138+I141</f>
        <v>4934.12</v>
      </c>
      <c r="K137" s="40">
        <f>K138+K141</f>
        <v>4934.12</v>
      </c>
      <c r="L137" s="51"/>
      <c r="M137" s="40">
        <f>M138+M141</f>
        <v>7091.85</v>
      </c>
      <c r="N137" s="51"/>
      <c r="O137" s="65">
        <f>O138+O141</f>
        <v>7209.6500000000005</v>
      </c>
      <c r="Q137" s="65">
        <f>Q138+Q141</f>
        <v>7209.6500000000005</v>
      </c>
    </row>
    <row r="138" spans="1:17" x14ac:dyDescent="0.25">
      <c r="A138" s="36" t="s">
        <v>69</v>
      </c>
      <c r="B138" s="31"/>
      <c r="C138" s="31" t="s">
        <v>68</v>
      </c>
      <c r="D138" s="31" t="s">
        <v>20</v>
      </c>
      <c r="E138" s="31"/>
      <c r="F138" s="31"/>
      <c r="G138" s="40">
        <f>G139</f>
        <v>370</v>
      </c>
      <c r="I138" s="40">
        <f>I139</f>
        <v>370</v>
      </c>
      <c r="K138" s="40">
        <f>K139</f>
        <v>370</v>
      </c>
      <c r="L138" s="51"/>
      <c r="M138" s="40">
        <f>M139</f>
        <v>370</v>
      </c>
      <c r="N138" s="51"/>
      <c r="O138" s="65">
        <f>O139</f>
        <v>370</v>
      </c>
      <c r="Q138" s="65">
        <f>Q139</f>
        <v>370</v>
      </c>
    </row>
    <row r="139" spans="1:17" x14ac:dyDescent="0.25">
      <c r="A139" s="17" t="s">
        <v>72</v>
      </c>
      <c r="B139" s="34"/>
      <c r="C139" s="34" t="s">
        <v>68</v>
      </c>
      <c r="D139" s="34" t="s">
        <v>20</v>
      </c>
      <c r="E139" s="34" t="s">
        <v>230</v>
      </c>
      <c r="F139" s="34"/>
      <c r="G139" s="39">
        <f>G140</f>
        <v>370</v>
      </c>
      <c r="I139" s="39">
        <f>I140</f>
        <v>370</v>
      </c>
      <c r="K139" s="39">
        <f>K140</f>
        <v>370</v>
      </c>
      <c r="L139" s="51"/>
      <c r="M139" s="39">
        <f>M140</f>
        <v>370</v>
      </c>
      <c r="N139" s="51"/>
      <c r="O139" s="66">
        <f>O140</f>
        <v>370</v>
      </c>
      <c r="Q139" s="66">
        <f>Q140</f>
        <v>370</v>
      </c>
    </row>
    <row r="140" spans="1:17" x14ac:dyDescent="0.25">
      <c r="A140" s="37" t="s">
        <v>225</v>
      </c>
      <c r="B140" s="34"/>
      <c r="C140" s="34" t="s">
        <v>68</v>
      </c>
      <c r="D140" s="34" t="s">
        <v>20</v>
      </c>
      <c r="E140" s="34" t="s">
        <v>230</v>
      </c>
      <c r="F140" s="34" t="s">
        <v>211</v>
      </c>
      <c r="G140" s="39">
        <v>370</v>
      </c>
      <c r="I140" s="39">
        <f>G140+H140</f>
        <v>370</v>
      </c>
      <c r="K140" s="39">
        <f>I140+J140</f>
        <v>370</v>
      </c>
      <c r="L140" s="51"/>
      <c r="M140" s="39">
        <f>K140+L140</f>
        <v>370</v>
      </c>
      <c r="N140" s="51"/>
      <c r="O140" s="66">
        <f>M140+N140</f>
        <v>370</v>
      </c>
      <c r="Q140" s="66">
        <f>O140+P140</f>
        <v>370</v>
      </c>
    </row>
    <row r="141" spans="1:17" x14ac:dyDescent="0.25">
      <c r="A141" s="36" t="s">
        <v>74</v>
      </c>
      <c r="B141" s="31"/>
      <c r="C141" s="31" t="s">
        <v>68</v>
      </c>
      <c r="D141" s="31" t="s">
        <v>24</v>
      </c>
      <c r="E141" s="31"/>
      <c r="F141" s="31"/>
      <c r="G141" s="40">
        <f>G146+G150</f>
        <v>4564.12</v>
      </c>
      <c r="I141" s="40">
        <f>I146+I150</f>
        <v>4564.12</v>
      </c>
      <c r="K141" s="40">
        <f>K146+K150</f>
        <v>4564.12</v>
      </c>
      <c r="L141" s="51"/>
      <c r="M141" s="40">
        <f>M146+M150+M144</f>
        <v>6721.85</v>
      </c>
      <c r="N141" s="51"/>
      <c r="O141" s="65">
        <f>O146+O150+O144+O142</f>
        <v>6839.6500000000005</v>
      </c>
      <c r="Q141" s="65">
        <f>Q146+Q150+Q144+Q142</f>
        <v>6839.6500000000005</v>
      </c>
    </row>
    <row r="142" spans="1:17" ht="31.5" x14ac:dyDescent="0.25">
      <c r="A142" s="17" t="s">
        <v>627</v>
      </c>
      <c r="B142" s="34"/>
      <c r="C142" s="34" t="s">
        <v>68</v>
      </c>
      <c r="D142" s="34" t="s">
        <v>24</v>
      </c>
      <c r="E142" s="34" t="s">
        <v>574</v>
      </c>
      <c r="F142" s="34"/>
      <c r="G142" s="39"/>
      <c r="I142" s="39"/>
      <c r="K142" s="39"/>
      <c r="L142" s="51"/>
      <c r="M142" s="39"/>
      <c r="N142" s="51"/>
      <c r="O142" s="66">
        <f>O143</f>
        <v>117.8</v>
      </c>
      <c r="Q142" s="66">
        <f>Q143</f>
        <v>117.8</v>
      </c>
    </row>
    <row r="143" spans="1:17" ht="31.5" x14ac:dyDescent="0.25">
      <c r="A143" s="17" t="s">
        <v>286</v>
      </c>
      <c r="B143" s="34"/>
      <c r="C143" s="34" t="s">
        <v>68</v>
      </c>
      <c r="D143" s="34" t="s">
        <v>24</v>
      </c>
      <c r="E143" s="34" t="s">
        <v>574</v>
      </c>
      <c r="F143" s="34" t="s">
        <v>285</v>
      </c>
      <c r="G143" s="39"/>
      <c r="I143" s="39"/>
      <c r="K143" s="39"/>
      <c r="L143" s="51"/>
      <c r="M143" s="39"/>
      <c r="N143" s="51">
        <v>117.8</v>
      </c>
      <c r="O143" s="66">
        <f>M143+N143</f>
        <v>117.8</v>
      </c>
      <c r="Q143" s="66">
        <f>O143+P143</f>
        <v>117.8</v>
      </c>
    </row>
    <row r="144" spans="1:17" ht="30.75" customHeight="1" x14ac:dyDescent="0.25">
      <c r="A144" s="17" t="s">
        <v>514</v>
      </c>
      <c r="B144" s="34"/>
      <c r="C144" s="34" t="s">
        <v>68</v>
      </c>
      <c r="D144" s="34" t="s">
        <v>24</v>
      </c>
      <c r="E144" s="34" t="s">
        <v>291</v>
      </c>
      <c r="F144" s="34"/>
      <c r="G144" s="39"/>
      <c r="I144" s="39"/>
      <c r="K144" s="39"/>
      <c r="L144" s="51"/>
      <c r="M144" s="39">
        <f>M145</f>
        <v>1708.9</v>
      </c>
      <c r="N144" s="51"/>
      <c r="O144" s="66">
        <f>O145</f>
        <v>1708.9</v>
      </c>
      <c r="Q144" s="66">
        <f>Q145</f>
        <v>1708.9</v>
      </c>
    </row>
    <row r="145" spans="1:17" x14ac:dyDescent="0.25">
      <c r="A145" s="17" t="s">
        <v>515</v>
      </c>
      <c r="B145" s="34"/>
      <c r="C145" s="34" t="s">
        <v>68</v>
      </c>
      <c r="D145" s="34" t="s">
        <v>24</v>
      </c>
      <c r="E145" s="34" t="s">
        <v>291</v>
      </c>
      <c r="F145" s="34" t="s">
        <v>513</v>
      </c>
      <c r="G145" s="39"/>
      <c r="I145" s="39"/>
      <c r="K145" s="39"/>
      <c r="L145" s="51">
        <v>1708.9</v>
      </c>
      <c r="M145" s="39">
        <f>L145+K145</f>
        <v>1708.9</v>
      </c>
      <c r="N145" s="51"/>
      <c r="O145" s="66">
        <f>N145+M145</f>
        <v>1708.9</v>
      </c>
      <c r="Q145" s="66">
        <f>P145+O145</f>
        <v>1708.9</v>
      </c>
    </row>
    <row r="146" spans="1:17" ht="30" customHeight="1" x14ac:dyDescent="0.25">
      <c r="A146" s="43" t="s">
        <v>380</v>
      </c>
      <c r="B146" s="34"/>
      <c r="C146" s="34" t="s">
        <v>68</v>
      </c>
      <c r="D146" s="34" t="s">
        <v>24</v>
      </c>
      <c r="E146" s="34" t="s">
        <v>321</v>
      </c>
      <c r="F146" s="34"/>
      <c r="G146" s="39">
        <f>G147+G148+G149</f>
        <v>632.6</v>
      </c>
      <c r="I146" s="39">
        <f>I147+I148+I149</f>
        <v>632.6</v>
      </c>
      <c r="K146" s="39">
        <f>K147+K148+K149</f>
        <v>632.6</v>
      </c>
      <c r="L146" s="51"/>
      <c r="M146" s="39">
        <f>M147+M148+M149</f>
        <v>632.6</v>
      </c>
      <c r="N146" s="51"/>
      <c r="O146" s="66">
        <f>O147+O148+O149</f>
        <v>632.6</v>
      </c>
      <c r="Q146" s="66">
        <f>Q147+Q148+Q149</f>
        <v>632.6</v>
      </c>
    </row>
    <row r="147" spans="1:17" x14ac:dyDescent="0.25">
      <c r="A147" s="17" t="s">
        <v>205</v>
      </c>
      <c r="B147" s="34"/>
      <c r="C147" s="34" t="s">
        <v>68</v>
      </c>
      <c r="D147" s="34" t="s">
        <v>24</v>
      </c>
      <c r="E147" s="34" t="s">
        <v>321</v>
      </c>
      <c r="F147" s="34" t="s">
        <v>206</v>
      </c>
      <c r="G147" s="39">
        <f>467.3+141.1</f>
        <v>608.4</v>
      </c>
      <c r="I147" s="39">
        <f>G147+H147</f>
        <v>608.4</v>
      </c>
      <c r="K147" s="39">
        <f>I147+J147</f>
        <v>608.4</v>
      </c>
      <c r="L147" s="51"/>
      <c r="M147" s="39">
        <f>K147+L147</f>
        <v>608.4</v>
      </c>
      <c r="N147" s="51"/>
      <c r="O147" s="66">
        <f>M147+N147</f>
        <v>608.4</v>
      </c>
      <c r="Q147" s="66">
        <f>O147+P147</f>
        <v>608.4</v>
      </c>
    </row>
    <row r="148" spans="1:17" ht="16.5" customHeight="1" x14ac:dyDescent="0.25">
      <c r="A148" s="17" t="s">
        <v>209</v>
      </c>
      <c r="B148" s="34"/>
      <c r="C148" s="34" t="s">
        <v>68</v>
      </c>
      <c r="D148" s="34" t="s">
        <v>24</v>
      </c>
      <c r="E148" s="34" t="s">
        <v>321</v>
      </c>
      <c r="F148" s="34" t="s">
        <v>210</v>
      </c>
      <c r="G148" s="39">
        <f>5+5+1+5</f>
        <v>16</v>
      </c>
      <c r="I148" s="39">
        <f>G148+H148</f>
        <v>16</v>
      </c>
      <c r="K148" s="39">
        <f>I148+J148</f>
        <v>16</v>
      </c>
      <c r="L148" s="51">
        <v>-5.5</v>
      </c>
      <c r="M148" s="39">
        <f>K148+L148</f>
        <v>10.5</v>
      </c>
      <c r="N148" s="51"/>
      <c r="O148" s="66">
        <f>M148+N148</f>
        <v>10.5</v>
      </c>
      <c r="Q148" s="66">
        <f>O148+P148</f>
        <v>10.5</v>
      </c>
    </row>
    <row r="149" spans="1:17" x14ac:dyDescent="0.25">
      <c r="A149" s="37" t="s">
        <v>225</v>
      </c>
      <c r="B149" s="34"/>
      <c r="C149" s="34" t="s">
        <v>68</v>
      </c>
      <c r="D149" s="34" t="s">
        <v>24</v>
      </c>
      <c r="E149" s="34" t="s">
        <v>321</v>
      </c>
      <c r="F149" s="34" t="s">
        <v>211</v>
      </c>
      <c r="G149" s="39">
        <f>8.2</f>
        <v>8.1999999999999993</v>
      </c>
      <c r="I149" s="39">
        <f>G149+H149</f>
        <v>8.1999999999999993</v>
      </c>
      <c r="K149" s="39">
        <f>I149+J149</f>
        <v>8.1999999999999993</v>
      </c>
      <c r="L149" s="51">
        <v>5.5</v>
      </c>
      <c r="M149" s="39">
        <f>K149+L149</f>
        <v>13.7</v>
      </c>
      <c r="N149" s="51"/>
      <c r="O149" s="66">
        <f>M149+N149</f>
        <v>13.7</v>
      </c>
      <c r="Q149" s="66">
        <f>O149+P149</f>
        <v>13.7</v>
      </c>
    </row>
    <row r="150" spans="1:17" ht="78.75" customHeight="1" x14ac:dyDescent="0.25">
      <c r="A150" s="17" t="s">
        <v>359</v>
      </c>
      <c r="B150" s="34"/>
      <c r="C150" s="34" t="s">
        <v>68</v>
      </c>
      <c r="D150" s="34" t="s">
        <v>24</v>
      </c>
      <c r="E150" s="34" t="s">
        <v>322</v>
      </c>
      <c r="F150" s="34"/>
      <c r="G150" s="39">
        <f>G151</f>
        <v>3931.52</v>
      </c>
      <c r="I150" s="39">
        <f>I151</f>
        <v>3931.52</v>
      </c>
      <c r="K150" s="39">
        <f>K151</f>
        <v>3931.52</v>
      </c>
      <c r="L150" s="51"/>
      <c r="M150" s="39">
        <f>M151</f>
        <v>4380.3500000000004</v>
      </c>
      <c r="N150" s="51"/>
      <c r="O150" s="66">
        <f>O151</f>
        <v>4380.3500000000004</v>
      </c>
      <c r="Q150" s="66">
        <f>Q151</f>
        <v>4380.3500000000004</v>
      </c>
    </row>
    <row r="151" spans="1:17" ht="31.5" x14ac:dyDescent="0.25">
      <c r="A151" s="17" t="s">
        <v>286</v>
      </c>
      <c r="B151" s="34"/>
      <c r="C151" s="34" t="s">
        <v>68</v>
      </c>
      <c r="D151" s="34" t="s">
        <v>24</v>
      </c>
      <c r="E151" s="34" t="s">
        <v>322</v>
      </c>
      <c r="F151" s="34" t="s">
        <v>285</v>
      </c>
      <c r="G151" s="39">
        <v>3931.52</v>
      </c>
      <c r="I151" s="39">
        <f>G151+H151</f>
        <v>3931.52</v>
      </c>
      <c r="K151" s="39">
        <f>I151+J151</f>
        <v>3931.52</v>
      </c>
      <c r="L151" s="51">
        <v>448.83</v>
      </c>
      <c r="M151" s="39">
        <f>K151+L151</f>
        <v>4380.3500000000004</v>
      </c>
      <c r="N151" s="51"/>
      <c r="O151" s="66">
        <f>M151+N151</f>
        <v>4380.3500000000004</v>
      </c>
      <c r="Q151" s="66">
        <f>O151+P151</f>
        <v>4380.3500000000004</v>
      </c>
    </row>
    <row r="152" spans="1:17" x14ac:dyDescent="0.25">
      <c r="A152" s="36" t="s">
        <v>232</v>
      </c>
      <c r="B152" s="31"/>
      <c r="C152" s="31" t="s">
        <v>107</v>
      </c>
      <c r="D152" s="31"/>
      <c r="E152" s="31"/>
      <c r="F152" s="31"/>
      <c r="G152" s="40">
        <f>G153</f>
        <v>600</v>
      </c>
      <c r="I152" s="40">
        <f>I153</f>
        <v>1100</v>
      </c>
      <c r="K152" s="40">
        <f>K153</f>
        <v>1100</v>
      </c>
      <c r="L152" s="51"/>
      <c r="M152" s="40">
        <f>M153+M156</f>
        <v>1128.81</v>
      </c>
      <c r="N152" s="51"/>
      <c r="O152" s="65">
        <f>O153+O156</f>
        <v>1128.81</v>
      </c>
      <c r="Q152" s="65">
        <f>Q153+Q156</f>
        <v>1128.81</v>
      </c>
    </row>
    <row r="153" spans="1:17" x14ac:dyDescent="0.25">
      <c r="A153" s="36" t="s">
        <v>198</v>
      </c>
      <c r="B153" s="31"/>
      <c r="C153" s="31" t="s">
        <v>107</v>
      </c>
      <c r="D153" s="31" t="s">
        <v>15</v>
      </c>
      <c r="E153" s="31"/>
      <c r="F153" s="31"/>
      <c r="G153" s="40">
        <f>G154</f>
        <v>600</v>
      </c>
      <c r="I153" s="40">
        <f>I154</f>
        <v>1100</v>
      </c>
      <c r="K153" s="40">
        <f>K154</f>
        <v>1100</v>
      </c>
      <c r="L153" s="51"/>
      <c r="M153" s="40">
        <f>M154</f>
        <v>1100</v>
      </c>
      <c r="N153" s="51"/>
      <c r="O153" s="65">
        <f>O154</f>
        <v>1100</v>
      </c>
      <c r="Q153" s="65">
        <f>Q154</f>
        <v>1100</v>
      </c>
    </row>
    <row r="154" spans="1:17" ht="15.75" customHeight="1" x14ac:dyDescent="0.25">
      <c r="A154" s="17" t="s">
        <v>233</v>
      </c>
      <c r="B154" s="34"/>
      <c r="C154" s="34" t="s">
        <v>107</v>
      </c>
      <c r="D154" s="34" t="s">
        <v>15</v>
      </c>
      <c r="E154" s="34" t="s">
        <v>231</v>
      </c>
      <c r="F154" s="34"/>
      <c r="G154" s="39">
        <f>G155</f>
        <v>600</v>
      </c>
      <c r="I154" s="39">
        <f>I155</f>
        <v>1100</v>
      </c>
      <c r="K154" s="39">
        <f>K155</f>
        <v>1100</v>
      </c>
      <c r="L154" s="51"/>
      <c r="M154" s="39">
        <f>M155</f>
        <v>1100</v>
      </c>
      <c r="N154" s="51"/>
      <c r="O154" s="66">
        <f>O155</f>
        <v>1100</v>
      </c>
      <c r="Q154" s="66">
        <f>Q155</f>
        <v>1100</v>
      </c>
    </row>
    <row r="155" spans="1:17" ht="15" customHeight="1" x14ac:dyDescent="0.25">
      <c r="A155" s="17" t="s">
        <v>225</v>
      </c>
      <c r="B155" s="34"/>
      <c r="C155" s="34" t="s">
        <v>107</v>
      </c>
      <c r="D155" s="34" t="s">
        <v>15</v>
      </c>
      <c r="E155" s="34" t="s">
        <v>231</v>
      </c>
      <c r="F155" s="34" t="s">
        <v>211</v>
      </c>
      <c r="G155" s="39">
        <f>600</f>
        <v>600</v>
      </c>
      <c r="H155" s="51">
        <v>500</v>
      </c>
      <c r="I155" s="39">
        <f>G155+H155</f>
        <v>1100</v>
      </c>
      <c r="K155" s="39">
        <f>I155+J155</f>
        <v>1100</v>
      </c>
      <c r="L155" s="51"/>
      <c r="M155" s="39">
        <f>K155+L155</f>
        <v>1100</v>
      </c>
      <c r="N155" s="51"/>
      <c r="O155" s="66">
        <f>M155+N155</f>
        <v>1100</v>
      </c>
      <c r="Q155" s="66">
        <f>O155+P155</f>
        <v>1100</v>
      </c>
    </row>
    <row r="156" spans="1:17" ht="15" customHeight="1" x14ac:dyDescent="0.25">
      <c r="A156" s="36" t="s">
        <v>517</v>
      </c>
      <c r="B156" s="31"/>
      <c r="C156" s="31" t="s">
        <v>107</v>
      </c>
      <c r="D156" s="31" t="s">
        <v>17</v>
      </c>
      <c r="E156" s="31"/>
      <c r="F156" s="31"/>
      <c r="G156" s="40"/>
      <c r="H156" s="52"/>
      <c r="I156" s="40"/>
      <c r="J156" s="52"/>
      <c r="K156" s="40"/>
      <c r="L156" s="52"/>
      <c r="M156" s="40">
        <f>M157</f>
        <v>28.81</v>
      </c>
      <c r="N156" s="52"/>
      <c r="O156" s="65">
        <f>O157</f>
        <v>28.81</v>
      </c>
      <c r="Q156" s="65">
        <f>Q157</f>
        <v>28.81</v>
      </c>
    </row>
    <row r="157" spans="1:17" ht="30.75" customHeight="1" x14ac:dyDescent="0.25">
      <c r="A157" s="17" t="s">
        <v>518</v>
      </c>
      <c r="B157" s="34"/>
      <c r="C157" s="34" t="s">
        <v>107</v>
      </c>
      <c r="D157" s="34" t="s">
        <v>17</v>
      </c>
      <c r="E157" s="34" t="s">
        <v>516</v>
      </c>
      <c r="F157" s="34"/>
      <c r="G157" s="39"/>
      <c r="I157" s="39"/>
      <c r="K157" s="39"/>
      <c r="L157" s="51"/>
      <c r="M157" s="39">
        <f>M158</f>
        <v>28.81</v>
      </c>
      <c r="N157" s="51"/>
      <c r="O157" s="66">
        <f>O158</f>
        <v>28.81</v>
      </c>
      <c r="Q157" s="66">
        <f>Q158</f>
        <v>28.81</v>
      </c>
    </row>
    <row r="158" spans="1:17" ht="15" customHeight="1" x14ac:dyDescent="0.25">
      <c r="A158" s="17" t="s">
        <v>225</v>
      </c>
      <c r="B158" s="34"/>
      <c r="C158" s="34" t="s">
        <v>107</v>
      </c>
      <c r="D158" s="34" t="s">
        <v>17</v>
      </c>
      <c r="E158" s="34" t="s">
        <v>516</v>
      </c>
      <c r="F158" s="34" t="s">
        <v>211</v>
      </c>
      <c r="G158" s="39"/>
      <c r="I158" s="39"/>
      <c r="K158" s="39"/>
      <c r="L158" s="51">
        <v>28.81</v>
      </c>
      <c r="M158" s="39">
        <f>K158+L158</f>
        <v>28.81</v>
      </c>
      <c r="N158" s="51"/>
      <c r="O158" s="66">
        <f>M158+N158</f>
        <v>28.81</v>
      </c>
      <c r="Q158" s="66">
        <f>O158+P158</f>
        <v>28.81</v>
      </c>
    </row>
    <row r="159" spans="1:17" ht="18.75" customHeight="1" x14ac:dyDescent="0.25">
      <c r="A159" s="36" t="s">
        <v>360</v>
      </c>
      <c r="B159" s="31" t="s">
        <v>234</v>
      </c>
      <c r="C159" s="31"/>
      <c r="D159" s="31"/>
      <c r="E159" s="31"/>
      <c r="F159" s="31"/>
      <c r="G159" s="40">
        <f>G160</f>
        <v>3316.4</v>
      </c>
      <c r="I159" s="40">
        <f>I160</f>
        <v>3316.4</v>
      </c>
      <c r="K159" s="40">
        <f>K160</f>
        <v>3316.4</v>
      </c>
      <c r="L159" s="51"/>
      <c r="M159" s="58">
        <f>M160+M169</f>
        <v>3339.9</v>
      </c>
      <c r="N159" s="51"/>
      <c r="O159" s="65">
        <f>O160+O169</f>
        <v>3339.9</v>
      </c>
      <c r="Q159" s="65">
        <f>Q160+Q169</f>
        <v>3339.9</v>
      </c>
    </row>
    <row r="160" spans="1:17" x14ac:dyDescent="0.25">
      <c r="A160" s="36" t="s">
        <v>129</v>
      </c>
      <c r="B160" s="31"/>
      <c r="C160" s="31" t="s">
        <v>15</v>
      </c>
      <c r="D160" s="31"/>
      <c r="E160" s="31"/>
      <c r="F160" s="31"/>
      <c r="G160" s="40">
        <f>G161</f>
        <v>3316.4</v>
      </c>
      <c r="I160" s="40">
        <f>I161</f>
        <v>3316.4</v>
      </c>
      <c r="K160" s="40">
        <f>K161</f>
        <v>3316.4</v>
      </c>
      <c r="L160" s="51"/>
      <c r="M160" s="40">
        <f>M161</f>
        <v>3316.4</v>
      </c>
      <c r="N160" s="51"/>
      <c r="O160" s="65">
        <f>O161</f>
        <v>3316.4</v>
      </c>
      <c r="Q160" s="65">
        <f>Q161</f>
        <v>3316.4</v>
      </c>
    </row>
    <row r="161" spans="1:17" ht="32.25" customHeight="1" x14ac:dyDescent="0.25">
      <c r="A161" s="36" t="s">
        <v>19</v>
      </c>
      <c r="B161" s="31"/>
      <c r="C161" s="31" t="s">
        <v>15</v>
      </c>
      <c r="D161" s="31" t="s">
        <v>20</v>
      </c>
      <c r="E161" s="31"/>
      <c r="F161" s="31"/>
      <c r="G161" s="40">
        <f>G162+G167</f>
        <v>3316.4</v>
      </c>
      <c r="I161" s="40">
        <f>I162+I167</f>
        <v>3316.4</v>
      </c>
      <c r="K161" s="40">
        <f>K162+K167</f>
        <v>3316.4</v>
      </c>
      <c r="L161" s="51"/>
      <c r="M161" s="40">
        <f>M162+M167</f>
        <v>3316.4</v>
      </c>
      <c r="N161" s="51"/>
      <c r="O161" s="65">
        <f>O162+O167</f>
        <v>3316.4</v>
      </c>
      <c r="Q161" s="65">
        <f>Q162+Q167</f>
        <v>3316.4</v>
      </c>
    </row>
    <row r="162" spans="1:17" x14ac:dyDescent="0.25">
      <c r="A162" s="17" t="s">
        <v>235</v>
      </c>
      <c r="B162" s="34"/>
      <c r="C162" s="34" t="s">
        <v>15</v>
      </c>
      <c r="D162" s="34" t="s">
        <v>20</v>
      </c>
      <c r="E162" s="34" t="s">
        <v>23</v>
      </c>
      <c r="F162" s="34"/>
      <c r="G162" s="39">
        <f>G163+G164+G165+G166</f>
        <v>1873</v>
      </c>
      <c r="I162" s="39">
        <f>I163+I164+I165+I166</f>
        <v>1873</v>
      </c>
      <c r="K162" s="39">
        <f>K163+K164+K165+K166</f>
        <v>1873</v>
      </c>
      <c r="L162" s="51"/>
      <c r="M162" s="39">
        <f>M163+M164+M165+M166</f>
        <v>1873</v>
      </c>
      <c r="N162" s="51"/>
      <c r="O162" s="66">
        <f>O163+O164+O165+O166</f>
        <v>1873</v>
      </c>
      <c r="Q162" s="66">
        <f>Q163+Q164+Q165+Q166</f>
        <v>1873</v>
      </c>
    </row>
    <row r="163" spans="1:17" x14ac:dyDescent="0.25">
      <c r="A163" s="17" t="s">
        <v>205</v>
      </c>
      <c r="B163" s="34"/>
      <c r="C163" s="34" t="s">
        <v>15</v>
      </c>
      <c r="D163" s="34" t="s">
        <v>20</v>
      </c>
      <c r="E163" s="34" t="s">
        <v>23</v>
      </c>
      <c r="F163" s="34" t="s">
        <v>206</v>
      </c>
      <c r="G163" s="39">
        <f>954.4+261.2</f>
        <v>1215.5999999999999</v>
      </c>
      <c r="I163" s="39">
        <f>G163+H163</f>
        <v>1215.5999999999999</v>
      </c>
      <c r="K163" s="39">
        <f>I163+J163</f>
        <v>1215.5999999999999</v>
      </c>
      <c r="L163" s="51"/>
      <c r="M163" s="39">
        <f>K163+L163</f>
        <v>1215.5999999999999</v>
      </c>
      <c r="N163" s="51"/>
      <c r="O163" s="66">
        <f>M163+N163</f>
        <v>1215.5999999999999</v>
      </c>
      <c r="Q163" s="66">
        <f>O163+P163</f>
        <v>1215.5999999999999</v>
      </c>
    </row>
    <row r="164" spans="1:17" ht="15" customHeight="1" x14ac:dyDescent="0.25">
      <c r="A164" s="17" t="s">
        <v>207</v>
      </c>
      <c r="B164" s="34"/>
      <c r="C164" s="34" t="s">
        <v>15</v>
      </c>
      <c r="D164" s="34" t="s">
        <v>20</v>
      </c>
      <c r="E164" s="34" t="s">
        <v>23</v>
      </c>
      <c r="F164" s="34" t="s">
        <v>208</v>
      </c>
      <c r="G164" s="39">
        <v>50</v>
      </c>
      <c r="I164" s="39">
        <f>G164+H164</f>
        <v>50</v>
      </c>
      <c r="K164" s="39">
        <f>I164+J164</f>
        <v>50</v>
      </c>
      <c r="L164" s="51">
        <v>20</v>
      </c>
      <c r="M164" s="39">
        <f>K164+L164</f>
        <v>70</v>
      </c>
      <c r="N164" s="51"/>
      <c r="O164" s="66">
        <f>M164+N164</f>
        <v>70</v>
      </c>
      <c r="Q164" s="66">
        <f>O164+P164</f>
        <v>70</v>
      </c>
    </row>
    <row r="165" spans="1:17" ht="15.75" customHeight="1" x14ac:dyDescent="0.25">
      <c r="A165" s="17" t="s">
        <v>209</v>
      </c>
      <c r="B165" s="34"/>
      <c r="C165" s="34" t="s">
        <v>15</v>
      </c>
      <c r="D165" s="34" t="s">
        <v>20</v>
      </c>
      <c r="E165" s="34" t="s">
        <v>23</v>
      </c>
      <c r="F165" s="34" t="s">
        <v>210</v>
      </c>
      <c r="G165" s="39">
        <v>62</v>
      </c>
      <c r="I165" s="39">
        <f>G165+H165</f>
        <v>62</v>
      </c>
      <c r="K165" s="39">
        <f>I165+J165</f>
        <v>62</v>
      </c>
      <c r="L165" s="51">
        <v>6</v>
      </c>
      <c r="M165" s="39">
        <f>K165+L165</f>
        <v>68</v>
      </c>
      <c r="N165" s="51"/>
      <c r="O165" s="66">
        <f>M165+N165</f>
        <v>68</v>
      </c>
      <c r="Q165" s="66">
        <f>O165+P165</f>
        <v>68</v>
      </c>
    </row>
    <row r="166" spans="1:17" ht="15" customHeight="1" x14ac:dyDescent="0.25">
      <c r="A166" s="17" t="s">
        <v>225</v>
      </c>
      <c r="B166" s="34"/>
      <c r="C166" s="34" t="s">
        <v>15</v>
      </c>
      <c r="D166" s="34" t="s">
        <v>20</v>
      </c>
      <c r="E166" s="34" t="s">
        <v>23</v>
      </c>
      <c r="F166" s="34" t="s">
        <v>211</v>
      </c>
      <c r="G166" s="39">
        <f>645.7-100.3</f>
        <v>545.40000000000009</v>
      </c>
      <c r="I166" s="39">
        <f>G166+H166</f>
        <v>545.40000000000009</v>
      </c>
      <c r="K166" s="39">
        <f>I166+J166</f>
        <v>545.40000000000009</v>
      </c>
      <c r="L166" s="51">
        <v>-26</v>
      </c>
      <c r="M166" s="39">
        <f>K166+L166</f>
        <v>519.40000000000009</v>
      </c>
      <c r="N166" s="51"/>
      <c r="O166" s="66">
        <f>M166+N166</f>
        <v>519.40000000000009</v>
      </c>
      <c r="Q166" s="66">
        <f>O166+P166</f>
        <v>519.40000000000009</v>
      </c>
    </row>
    <row r="167" spans="1:17" ht="18.75" customHeight="1" x14ac:dyDescent="0.25">
      <c r="A167" s="17" t="s">
        <v>237</v>
      </c>
      <c r="B167" s="34"/>
      <c r="C167" s="34" t="s">
        <v>15</v>
      </c>
      <c r="D167" s="34" t="s">
        <v>20</v>
      </c>
      <c r="E167" s="34" t="s">
        <v>236</v>
      </c>
      <c r="F167" s="34"/>
      <c r="G167" s="39">
        <f>G168</f>
        <v>1443.4</v>
      </c>
      <c r="I167" s="39">
        <f>I168</f>
        <v>1443.4</v>
      </c>
      <c r="K167" s="39">
        <f>K168</f>
        <v>1443.4</v>
      </c>
      <c r="L167" s="51"/>
      <c r="M167" s="39">
        <f>M168</f>
        <v>1443.4</v>
      </c>
      <c r="N167" s="51"/>
      <c r="O167" s="66">
        <f>O168</f>
        <v>1443.4</v>
      </c>
      <c r="Q167" s="66">
        <f>Q168</f>
        <v>1443.4</v>
      </c>
    </row>
    <row r="168" spans="1:17" x14ac:dyDescent="0.25">
      <c r="A168" s="17" t="s">
        <v>205</v>
      </c>
      <c r="B168" s="34"/>
      <c r="C168" s="34" t="s">
        <v>15</v>
      </c>
      <c r="D168" s="34" t="s">
        <v>20</v>
      </c>
      <c r="E168" s="34" t="s">
        <v>236</v>
      </c>
      <c r="F168" s="34" t="s">
        <v>206</v>
      </c>
      <c r="G168" s="39">
        <v>1443.4</v>
      </c>
      <c r="I168" s="39">
        <f>G168+H168</f>
        <v>1443.4</v>
      </c>
      <c r="K168" s="39">
        <f>I168+J168</f>
        <v>1443.4</v>
      </c>
      <c r="L168" s="51"/>
      <c r="M168" s="39">
        <f>K168+L168</f>
        <v>1443.4</v>
      </c>
      <c r="N168" s="51"/>
      <c r="O168" s="66">
        <f>M168+N168</f>
        <v>1443.4</v>
      </c>
      <c r="Q168" s="66">
        <f>O168+P168</f>
        <v>1443.4</v>
      </c>
    </row>
    <row r="169" spans="1:17" x14ac:dyDescent="0.25">
      <c r="A169" s="36" t="s">
        <v>42</v>
      </c>
      <c r="B169" s="34"/>
      <c r="C169" s="34" t="s">
        <v>24</v>
      </c>
      <c r="D169" s="34"/>
      <c r="E169" s="34"/>
      <c r="F169" s="34"/>
      <c r="G169" s="39"/>
      <c r="I169" s="39"/>
      <c r="K169" s="39"/>
      <c r="L169" s="51"/>
      <c r="M169" s="39">
        <f>M170</f>
        <v>23.5</v>
      </c>
      <c r="N169" s="51"/>
      <c r="O169" s="66">
        <f>O170</f>
        <v>23.5</v>
      </c>
      <c r="Q169" s="66">
        <f>Q170</f>
        <v>23.5</v>
      </c>
    </row>
    <row r="170" spans="1:17" x14ac:dyDescent="0.25">
      <c r="A170" s="30" t="s">
        <v>166</v>
      </c>
      <c r="B170" s="34"/>
      <c r="C170" s="34" t="s">
        <v>24</v>
      </c>
      <c r="D170" s="34" t="s">
        <v>27</v>
      </c>
      <c r="E170" s="34"/>
      <c r="F170" s="34"/>
      <c r="G170" s="39"/>
      <c r="I170" s="39"/>
      <c r="K170" s="39"/>
      <c r="L170" s="51"/>
      <c r="M170" s="39">
        <f>M171</f>
        <v>23.5</v>
      </c>
      <c r="N170" s="51"/>
      <c r="O170" s="66">
        <f>O171</f>
        <v>23.5</v>
      </c>
      <c r="Q170" s="66">
        <f>Q171</f>
        <v>23.5</v>
      </c>
    </row>
    <row r="171" spans="1:17" ht="33.75" customHeight="1" x14ac:dyDescent="0.25">
      <c r="A171" s="17" t="s">
        <v>309</v>
      </c>
      <c r="B171" s="34"/>
      <c r="C171" s="34" t="s">
        <v>24</v>
      </c>
      <c r="D171" s="34" t="s">
        <v>27</v>
      </c>
      <c r="E171" s="34" t="s">
        <v>310</v>
      </c>
      <c r="F171" s="34"/>
      <c r="G171" s="39"/>
      <c r="I171" s="39"/>
      <c r="K171" s="39"/>
      <c r="L171" s="51"/>
      <c r="M171" s="39">
        <f>M172</f>
        <v>23.5</v>
      </c>
      <c r="N171" s="51"/>
      <c r="O171" s="66">
        <f>O172</f>
        <v>23.5</v>
      </c>
      <c r="Q171" s="66">
        <f>Q172</f>
        <v>23.5</v>
      </c>
    </row>
    <row r="172" spans="1:17" x14ac:dyDescent="0.25">
      <c r="A172" s="17" t="s">
        <v>225</v>
      </c>
      <c r="B172" s="34"/>
      <c r="C172" s="34" t="s">
        <v>24</v>
      </c>
      <c r="D172" s="34" t="s">
        <v>27</v>
      </c>
      <c r="E172" s="34" t="s">
        <v>310</v>
      </c>
      <c r="F172" s="34" t="s">
        <v>211</v>
      </c>
      <c r="G172" s="39"/>
      <c r="I172" s="39"/>
      <c r="K172" s="39"/>
      <c r="L172" s="51">
        <v>23.5</v>
      </c>
      <c r="M172" s="39">
        <f>K172+L172</f>
        <v>23.5</v>
      </c>
      <c r="N172" s="51"/>
      <c r="O172" s="66">
        <f>M172+N172</f>
        <v>23.5</v>
      </c>
      <c r="Q172" s="66">
        <f>O172+P172</f>
        <v>23.5</v>
      </c>
    </row>
    <row r="173" spans="1:17" ht="15.75" customHeight="1" x14ac:dyDescent="0.25">
      <c r="A173" s="36" t="s">
        <v>238</v>
      </c>
      <c r="B173" s="31" t="s">
        <v>5</v>
      </c>
      <c r="C173" s="31"/>
      <c r="D173" s="31"/>
      <c r="E173" s="31"/>
      <c r="F173" s="31"/>
      <c r="G173" s="40">
        <f>G174+G188+G197+G212+G299+G305+G310+G314+G286+G292</f>
        <v>179252.99</v>
      </c>
      <c r="I173" s="40">
        <f>I174+I188+I197+I212+I299+I305+I310+I314+I286+I292</f>
        <v>179252.99</v>
      </c>
      <c r="K173" s="40">
        <f>K174+K188+K197+K212+K299+K305+K310+K314+K286+K292</f>
        <v>179252.99</v>
      </c>
      <c r="L173" s="51"/>
      <c r="M173" s="58">
        <f>M174+M188+M197+M212+M299+M305+M310+M314+M286+M292</f>
        <v>184626.16999999998</v>
      </c>
      <c r="N173" s="51"/>
      <c r="O173" s="65">
        <f>O174+O188+O197+O212+O299+O305+O310+O314+O286+O292</f>
        <v>187106.30999999997</v>
      </c>
      <c r="Q173" s="65">
        <f>Q174+Q188+Q197+Q212+Q299+Q305+Q310+Q314+Q286+Q292</f>
        <v>187106.30999999997</v>
      </c>
    </row>
    <row r="174" spans="1:17" x14ac:dyDescent="0.25">
      <c r="A174" s="36" t="s">
        <v>129</v>
      </c>
      <c r="B174" s="31"/>
      <c r="C174" s="31" t="s">
        <v>15</v>
      </c>
      <c r="D174" s="31"/>
      <c r="E174" s="31"/>
      <c r="F174" s="31"/>
      <c r="G174" s="40">
        <f>G175+G184</f>
        <v>8451.7000000000007</v>
      </c>
      <c r="I174" s="40">
        <f>I175+I184</f>
        <v>8451.7000000000007</v>
      </c>
      <c r="K174" s="40">
        <f>K175+K184</f>
        <v>8451.7000000000007</v>
      </c>
      <c r="L174" s="51"/>
      <c r="M174" s="40">
        <f>M175+M183</f>
        <v>8608.2900000000009</v>
      </c>
      <c r="N174" s="51"/>
      <c r="O174" s="65">
        <f>O175+O183</f>
        <v>8608.2900000000009</v>
      </c>
      <c r="Q174" s="65">
        <f>Q175+Q183</f>
        <v>8608.2900000000009</v>
      </c>
    </row>
    <row r="175" spans="1:17" ht="31.5" x14ac:dyDescent="0.25">
      <c r="A175" s="36" t="s">
        <v>425</v>
      </c>
      <c r="B175" s="31"/>
      <c r="C175" s="31" t="s">
        <v>15</v>
      </c>
      <c r="D175" s="31" t="s">
        <v>98</v>
      </c>
      <c r="E175" s="31"/>
      <c r="F175" s="31"/>
      <c r="G175" s="40">
        <f>G176</f>
        <v>5831.7</v>
      </c>
      <c r="I175" s="40">
        <f>I176</f>
        <v>5831.7</v>
      </c>
      <c r="K175" s="40">
        <f>K176</f>
        <v>5831.7</v>
      </c>
      <c r="L175" s="51"/>
      <c r="M175" s="40">
        <f>M176</f>
        <v>5831.7</v>
      </c>
      <c r="N175" s="51"/>
      <c r="O175" s="65">
        <f>O176</f>
        <v>5831.7</v>
      </c>
      <c r="Q175" s="65">
        <f>Q176</f>
        <v>5831.7</v>
      </c>
    </row>
    <row r="176" spans="1:17" x14ac:dyDescent="0.25">
      <c r="A176" s="17" t="s">
        <v>235</v>
      </c>
      <c r="B176" s="34"/>
      <c r="C176" s="34" t="s">
        <v>15</v>
      </c>
      <c r="D176" s="34" t="s">
        <v>98</v>
      </c>
      <c r="E176" s="34" t="s">
        <v>23</v>
      </c>
      <c r="F176" s="34"/>
      <c r="G176" s="39">
        <f>SUM(G177:G182)</f>
        <v>5831.7</v>
      </c>
      <c r="I176" s="39">
        <f>SUM(I177:I182)</f>
        <v>5831.7</v>
      </c>
      <c r="K176" s="39">
        <f>SUM(K177:K182)</f>
        <v>5831.7</v>
      </c>
      <c r="L176" s="51"/>
      <c r="M176" s="39">
        <f>SUM(M177:M182)</f>
        <v>5831.7</v>
      </c>
      <c r="N176" s="51"/>
      <c r="O176" s="66">
        <f>SUM(O177:O182)</f>
        <v>5831.7</v>
      </c>
      <c r="Q176" s="66">
        <f>SUM(Q177:Q182)</f>
        <v>5831.7</v>
      </c>
    </row>
    <row r="177" spans="1:17" x14ac:dyDescent="0.25">
      <c r="A177" s="17" t="s">
        <v>205</v>
      </c>
      <c r="B177" s="34"/>
      <c r="C177" s="34" t="s">
        <v>15</v>
      </c>
      <c r="D177" s="34" t="s">
        <v>98</v>
      </c>
      <c r="E177" s="34" t="s">
        <v>23</v>
      </c>
      <c r="F177" s="34" t="s">
        <v>206</v>
      </c>
      <c r="G177" s="39">
        <f>4202.3+1166.2</f>
        <v>5368.5</v>
      </c>
      <c r="I177" s="39">
        <f t="shared" ref="I177:I182" si="4">G177+H177</f>
        <v>5368.5</v>
      </c>
      <c r="K177" s="39">
        <f t="shared" ref="K177:M182" si="5">I177+J177</f>
        <v>5368.5</v>
      </c>
      <c r="L177" s="51"/>
      <c r="M177" s="39">
        <f t="shared" si="5"/>
        <v>5368.5</v>
      </c>
      <c r="N177" s="51"/>
      <c r="O177" s="66">
        <f t="shared" ref="O177:Q182" si="6">M177+N177</f>
        <v>5368.5</v>
      </c>
      <c r="Q177" s="66">
        <f t="shared" si="6"/>
        <v>5368.5</v>
      </c>
    </row>
    <row r="178" spans="1:17" ht="14.25" customHeight="1" x14ac:dyDescent="0.25">
      <c r="A178" s="17" t="s">
        <v>207</v>
      </c>
      <c r="B178" s="34"/>
      <c r="C178" s="34" t="s">
        <v>15</v>
      </c>
      <c r="D178" s="34" t="s">
        <v>98</v>
      </c>
      <c r="E178" s="34" t="s">
        <v>23</v>
      </c>
      <c r="F178" s="34" t="s">
        <v>208</v>
      </c>
      <c r="G178" s="39">
        <v>8</v>
      </c>
      <c r="I178" s="39">
        <f t="shared" si="4"/>
        <v>8</v>
      </c>
      <c r="K178" s="39">
        <f t="shared" si="5"/>
        <v>8</v>
      </c>
      <c r="L178" s="51"/>
      <c r="M178" s="39">
        <f t="shared" si="5"/>
        <v>8</v>
      </c>
      <c r="N178" s="51"/>
      <c r="O178" s="66">
        <f t="shared" si="6"/>
        <v>8</v>
      </c>
      <c r="Q178" s="66">
        <f t="shared" si="6"/>
        <v>8</v>
      </c>
    </row>
    <row r="179" spans="1:17" ht="16.5" customHeight="1" x14ac:dyDescent="0.25">
      <c r="A179" s="17" t="s">
        <v>209</v>
      </c>
      <c r="B179" s="34"/>
      <c r="C179" s="34" t="s">
        <v>15</v>
      </c>
      <c r="D179" s="34" t="s">
        <v>98</v>
      </c>
      <c r="E179" s="34" t="s">
        <v>23</v>
      </c>
      <c r="F179" s="34" t="s">
        <v>210</v>
      </c>
      <c r="G179" s="39">
        <f>25+111.9</f>
        <v>136.9</v>
      </c>
      <c r="I179" s="39">
        <f t="shared" si="4"/>
        <v>136.9</v>
      </c>
      <c r="K179" s="39">
        <f t="shared" si="5"/>
        <v>136.9</v>
      </c>
      <c r="L179" s="51"/>
      <c r="M179" s="39">
        <f t="shared" si="5"/>
        <v>136.9</v>
      </c>
      <c r="N179" s="51"/>
      <c r="O179" s="66">
        <f t="shared" si="6"/>
        <v>136.9</v>
      </c>
      <c r="Q179" s="66">
        <f t="shared" si="6"/>
        <v>136.9</v>
      </c>
    </row>
    <row r="180" spans="1:17" ht="14.25" customHeight="1" x14ac:dyDescent="0.25">
      <c r="A180" s="17" t="s">
        <v>225</v>
      </c>
      <c r="B180" s="34"/>
      <c r="C180" s="34" t="s">
        <v>15</v>
      </c>
      <c r="D180" s="34" t="s">
        <v>98</v>
      </c>
      <c r="E180" s="34" t="s">
        <v>23</v>
      </c>
      <c r="F180" s="34" t="s">
        <v>211</v>
      </c>
      <c r="G180" s="39">
        <f>150+10+40+85+50-18.7</f>
        <v>316.3</v>
      </c>
      <c r="I180" s="39">
        <f t="shared" si="4"/>
        <v>316.3</v>
      </c>
      <c r="K180" s="39">
        <f t="shared" si="5"/>
        <v>316.3</v>
      </c>
      <c r="L180" s="51"/>
      <c r="M180" s="39">
        <f t="shared" si="5"/>
        <v>316.3</v>
      </c>
      <c r="N180" s="51"/>
      <c r="O180" s="66">
        <f t="shared" si="6"/>
        <v>316.3</v>
      </c>
      <c r="Q180" s="66">
        <f t="shared" si="6"/>
        <v>316.3</v>
      </c>
    </row>
    <row r="181" spans="1:17" ht="14.25" customHeight="1" x14ac:dyDescent="0.25">
      <c r="A181" s="43" t="s">
        <v>319</v>
      </c>
      <c r="B181" s="34"/>
      <c r="C181" s="34" t="s">
        <v>15</v>
      </c>
      <c r="D181" s="34" t="s">
        <v>98</v>
      </c>
      <c r="E181" s="34" t="s">
        <v>23</v>
      </c>
      <c r="F181" s="34" t="s">
        <v>318</v>
      </c>
      <c r="G181" s="39"/>
      <c r="I181" s="39">
        <f t="shared" si="4"/>
        <v>0</v>
      </c>
      <c r="K181" s="39">
        <f t="shared" si="5"/>
        <v>0</v>
      </c>
      <c r="L181" s="51"/>
      <c r="M181" s="39">
        <f t="shared" si="5"/>
        <v>0</v>
      </c>
      <c r="N181" s="51"/>
      <c r="O181" s="66">
        <f t="shared" si="6"/>
        <v>0</v>
      </c>
      <c r="Q181" s="66">
        <f t="shared" si="6"/>
        <v>0</v>
      </c>
    </row>
    <row r="182" spans="1:17" ht="14.25" customHeight="1" x14ac:dyDescent="0.25">
      <c r="A182" s="43" t="s">
        <v>301</v>
      </c>
      <c r="B182" s="34"/>
      <c r="C182" s="34" t="s">
        <v>15</v>
      </c>
      <c r="D182" s="34" t="s">
        <v>98</v>
      </c>
      <c r="E182" s="34" t="s">
        <v>23</v>
      </c>
      <c r="F182" s="34" t="s">
        <v>300</v>
      </c>
      <c r="G182" s="39">
        <v>2</v>
      </c>
      <c r="I182" s="39">
        <f t="shared" si="4"/>
        <v>2</v>
      </c>
      <c r="K182" s="39">
        <f t="shared" si="5"/>
        <v>2</v>
      </c>
      <c r="L182" s="51"/>
      <c r="M182" s="39">
        <f t="shared" si="5"/>
        <v>2</v>
      </c>
      <c r="N182" s="51"/>
      <c r="O182" s="66">
        <f t="shared" si="6"/>
        <v>2</v>
      </c>
      <c r="Q182" s="66">
        <f t="shared" si="6"/>
        <v>2</v>
      </c>
    </row>
    <row r="183" spans="1:17" ht="14.25" customHeight="1" x14ac:dyDescent="0.25">
      <c r="A183" s="36" t="s">
        <v>29</v>
      </c>
      <c r="B183" s="34"/>
      <c r="C183" s="34" t="s">
        <v>15</v>
      </c>
      <c r="D183" s="34" t="s">
        <v>186</v>
      </c>
      <c r="E183" s="34"/>
      <c r="F183" s="34"/>
      <c r="G183" s="39"/>
      <c r="I183" s="39"/>
      <c r="K183" s="39"/>
      <c r="L183" s="51"/>
      <c r="M183" s="39">
        <f>M184+M186</f>
        <v>2776.59</v>
      </c>
      <c r="N183" s="51"/>
      <c r="O183" s="66">
        <f>O184+O186</f>
        <v>2776.59</v>
      </c>
      <c r="Q183" s="66">
        <f>Q184+Q186</f>
        <v>2776.59</v>
      </c>
    </row>
    <row r="184" spans="1:17" x14ac:dyDescent="0.25">
      <c r="A184" s="17" t="s">
        <v>262</v>
      </c>
      <c r="B184" s="34"/>
      <c r="C184" s="34" t="s">
        <v>15</v>
      </c>
      <c r="D184" s="34" t="s">
        <v>186</v>
      </c>
      <c r="E184" s="34" t="s">
        <v>261</v>
      </c>
      <c r="F184" s="34"/>
      <c r="G184" s="39">
        <f>G185</f>
        <v>2620</v>
      </c>
      <c r="I184" s="39">
        <f>I185</f>
        <v>2620</v>
      </c>
      <c r="K184" s="39">
        <f>K185</f>
        <v>2620</v>
      </c>
      <c r="L184" s="51"/>
      <c r="M184" s="39">
        <f>M185</f>
        <v>2620</v>
      </c>
      <c r="N184" s="51"/>
      <c r="O184" s="66">
        <f>O185</f>
        <v>2620</v>
      </c>
      <c r="Q184" s="66">
        <f>Q185</f>
        <v>2620</v>
      </c>
    </row>
    <row r="185" spans="1:17" ht="30.75" customHeight="1" x14ac:dyDescent="0.25">
      <c r="A185" s="17" t="s">
        <v>243</v>
      </c>
      <c r="B185" s="34"/>
      <c r="C185" s="34" t="s">
        <v>15</v>
      </c>
      <c r="D185" s="34" t="s">
        <v>186</v>
      </c>
      <c r="E185" s="34" t="s">
        <v>261</v>
      </c>
      <c r="F185" s="34" t="s">
        <v>244</v>
      </c>
      <c r="G185" s="39">
        <v>2620</v>
      </c>
      <c r="I185" s="39">
        <f>G185+H185</f>
        <v>2620</v>
      </c>
      <c r="K185" s="39">
        <f>I185+J185</f>
        <v>2620</v>
      </c>
      <c r="L185" s="51"/>
      <c r="M185" s="39">
        <f>K185+L185</f>
        <v>2620</v>
      </c>
      <c r="N185" s="51"/>
      <c r="O185" s="66">
        <f>M185+N185</f>
        <v>2620</v>
      </c>
      <c r="Q185" s="66">
        <f>O185+P185</f>
        <v>2620</v>
      </c>
    </row>
    <row r="186" spans="1:17" ht="18" customHeight="1" x14ac:dyDescent="0.25">
      <c r="A186" s="43" t="s">
        <v>377</v>
      </c>
      <c r="B186" s="34"/>
      <c r="C186" s="34" t="s">
        <v>15</v>
      </c>
      <c r="D186" s="34" t="s">
        <v>186</v>
      </c>
      <c r="E186" s="34" t="s">
        <v>216</v>
      </c>
      <c r="F186" s="34"/>
      <c r="G186" s="39">
        <f>G187</f>
        <v>0</v>
      </c>
      <c r="I186" s="39">
        <f>I187</f>
        <v>0</v>
      </c>
      <c r="K186" s="39">
        <f>K187</f>
        <v>0</v>
      </c>
      <c r="L186" s="51"/>
      <c r="M186" s="39">
        <f>M187</f>
        <v>156.59</v>
      </c>
      <c r="N186" s="51"/>
      <c r="O186" s="66">
        <f>O187</f>
        <v>156.59</v>
      </c>
      <c r="Q186" s="66">
        <f>Q187</f>
        <v>156.59</v>
      </c>
    </row>
    <row r="187" spans="1:17" ht="63" customHeight="1" x14ac:dyDescent="0.25">
      <c r="A187" s="17" t="s">
        <v>241</v>
      </c>
      <c r="B187" s="34"/>
      <c r="C187" s="34" t="s">
        <v>15</v>
      </c>
      <c r="D187" s="34" t="s">
        <v>186</v>
      </c>
      <c r="E187" s="34" t="s">
        <v>216</v>
      </c>
      <c r="F187" s="34" t="s">
        <v>240</v>
      </c>
      <c r="G187" s="39"/>
      <c r="I187" s="39"/>
      <c r="K187" s="39"/>
      <c r="L187" s="51">
        <v>156.59</v>
      </c>
      <c r="M187" s="39">
        <f>K187+L187</f>
        <v>156.59</v>
      </c>
      <c r="N187" s="51"/>
      <c r="O187" s="66">
        <f>M187+N187</f>
        <v>156.59</v>
      </c>
      <c r="Q187" s="66">
        <f>O187+P187</f>
        <v>156.59</v>
      </c>
    </row>
    <row r="188" spans="1:17" x14ac:dyDescent="0.25">
      <c r="A188" s="36" t="s">
        <v>42</v>
      </c>
      <c r="B188" s="31"/>
      <c r="C188" s="31" t="s">
        <v>24</v>
      </c>
      <c r="D188" s="31"/>
      <c r="E188" s="31"/>
      <c r="F188" s="31"/>
      <c r="G188" s="40">
        <f>G189</f>
        <v>500</v>
      </c>
      <c r="I188" s="40">
        <f>I189</f>
        <v>500</v>
      </c>
      <c r="K188" s="40">
        <f>K189</f>
        <v>500</v>
      </c>
      <c r="L188" s="51"/>
      <c r="M188" s="40">
        <f>M189+M192</f>
        <v>382.5</v>
      </c>
      <c r="N188" s="51"/>
      <c r="O188" s="65">
        <f>O189+O192</f>
        <v>664.07999999999993</v>
      </c>
      <c r="Q188" s="65">
        <f>Q189+Q192</f>
        <v>664.07999999999993</v>
      </c>
    </row>
    <row r="189" spans="1:17" x14ac:dyDescent="0.25">
      <c r="A189" s="36" t="s">
        <v>174</v>
      </c>
      <c r="B189" s="31"/>
      <c r="C189" s="31" t="s">
        <v>24</v>
      </c>
      <c r="D189" s="31" t="s">
        <v>17</v>
      </c>
      <c r="E189" s="31"/>
      <c r="F189" s="31"/>
      <c r="G189" s="40">
        <f>G190</f>
        <v>500</v>
      </c>
      <c r="I189" s="40">
        <f>I190</f>
        <v>500</v>
      </c>
      <c r="K189" s="40">
        <f>K190</f>
        <v>500</v>
      </c>
      <c r="L189" s="51"/>
      <c r="M189" s="40">
        <f>M190</f>
        <v>0</v>
      </c>
      <c r="N189" s="51"/>
      <c r="O189" s="65">
        <f>O190</f>
        <v>0</v>
      </c>
      <c r="Q189" s="65">
        <f>Q190</f>
        <v>0</v>
      </c>
    </row>
    <row r="190" spans="1:17" ht="33" customHeight="1" x14ac:dyDescent="0.25">
      <c r="A190" s="17" t="s">
        <v>309</v>
      </c>
      <c r="B190" s="34"/>
      <c r="C190" s="34" t="s">
        <v>24</v>
      </c>
      <c r="D190" s="34" t="s">
        <v>17</v>
      </c>
      <c r="E190" s="34" t="s">
        <v>310</v>
      </c>
      <c r="F190" s="34"/>
      <c r="G190" s="39">
        <f>G191</f>
        <v>500</v>
      </c>
      <c r="I190" s="39">
        <f>I191</f>
        <v>500</v>
      </c>
      <c r="K190" s="39">
        <f>K191</f>
        <v>500</v>
      </c>
      <c r="L190" s="51"/>
      <c r="M190" s="39">
        <f>M191</f>
        <v>0</v>
      </c>
      <c r="N190" s="51"/>
      <c r="O190" s="66">
        <f>O191</f>
        <v>0</v>
      </c>
      <c r="Q190" s="66">
        <f>Q191</f>
        <v>0</v>
      </c>
    </row>
    <row r="191" spans="1:17" x14ac:dyDescent="0.25">
      <c r="A191" s="17" t="s">
        <v>246</v>
      </c>
      <c r="B191" s="34"/>
      <c r="C191" s="34" t="s">
        <v>24</v>
      </c>
      <c r="D191" s="34" t="s">
        <v>17</v>
      </c>
      <c r="E191" s="34" t="s">
        <v>310</v>
      </c>
      <c r="F191" s="34" t="s">
        <v>245</v>
      </c>
      <c r="G191" s="39">
        <v>500</v>
      </c>
      <c r="I191" s="39">
        <f>G191+H191</f>
        <v>500</v>
      </c>
      <c r="K191" s="39">
        <f>I191+J191</f>
        <v>500</v>
      </c>
      <c r="L191" s="51">
        <v>-500</v>
      </c>
      <c r="M191" s="39">
        <f>K191+L191</f>
        <v>0</v>
      </c>
      <c r="N191" s="51"/>
      <c r="O191" s="66">
        <f>M191+N191</f>
        <v>0</v>
      </c>
      <c r="Q191" s="66">
        <f>O191+P191</f>
        <v>0</v>
      </c>
    </row>
    <row r="192" spans="1:17" x14ac:dyDescent="0.25">
      <c r="A192" s="30" t="s">
        <v>166</v>
      </c>
      <c r="B192" s="34"/>
      <c r="C192" s="31" t="s">
        <v>24</v>
      </c>
      <c r="D192" s="31" t="s">
        <v>27</v>
      </c>
      <c r="E192" s="31"/>
      <c r="F192" s="31"/>
      <c r="G192" s="40"/>
      <c r="H192" s="52"/>
      <c r="I192" s="40"/>
      <c r="J192" s="52"/>
      <c r="K192" s="40"/>
      <c r="L192" s="52"/>
      <c r="M192" s="40">
        <f>M195</f>
        <v>382.5</v>
      </c>
      <c r="N192" s="52"/>
      <c r="O192" s="65">
        <f>O195+O193</f>
        <v>664.07999999999993</v>
      </c>
      <c r="Q192" s="65">
        <f>Q195+Q193</f>
        <v>664.07999999999993</v>
      </c>
    </row>
    <row r="193" spans="1:17" ht="31.5" x14ac:dyDescent="0.25">
      <c r="A193" s="17" t="s">
        <v>575</v>
      </c>
      <c r="B193" s="34"/>
      <c r="C193" s="34" t="s">
        <v>24</v>
      </c>
      <c r="D193" s="34" t="s">
        <v>27</v>
      </c>
      <c r="E193" s="34" t="s">
        <v>576</v>
      </c>
      <c r="F193" s="34"/>
      <c r="G193" s="39"/>
      <c r="I193" s="39"/>
      <c r="K193" s="39"/>
      <c r="L193" s="51"/>
      <c r="M193" s="39"/>
      <c r="N193" s="51"/>
      <c r="O193" s="66">
        <f>O194</f>
        <v>281.58</v>
      </c>
      <c r="Q193" s="66">
        <f>Q194</f>
        <v>281.58</v>
      </c>
    </row>
    <row r="194" spans="1:17" x14ac:dyDescent="0.25">
      <c r="A194" s="35" t="s">
        <v>246</v>
      </c>
      <c r="B194" s="34"/>
      <c r="C194" s="34" t="s">
        <v>24</v>
      </c>
      <c r="D194" s="34" t="s">
        <v>27</v>
      </c>
      <c r="E194" s="34" t="s">
        <v>576</v>
      </c>
      <c r="F194" s="34"/>
      <c r="G194" s="39"/>
      <c r="I194" s="39"/>
      <c r="K194" s="39"/>
      <c r="L194" s="51"/>
      <c r="M194" s="39"/>
      <c r="N194" s="53">
        <v>281.58</v>
      </c>
      <c r="O194" s="66">
        <f>M194+N194</f>
        <v>281.58</v>
      </c>
      <c r="Q194" s="66">
        <f>O194+P194</f>
        <v>281.58</v>
      </c>
    </row>
    <row r="195" spans="1:17" ht="29.25" customHeight="1" x14ac:dyDescent="0.25">
      <c r="A195" s="17" t="s">
        <v>309</v>
      </c>
      <c r="B195" s="34"/>
      <c r="C195" s="34" t="s">
        <v>24</v>
      </c>
      <c r="D195" s="34" t="s">
        <v>27</v>
      </c>
      <c r="E195" s="34" t="s">
        <v>310</v>
      </c>
      <c r="F195" s="34"/>
      <c r="G195" s="39"/>
      <c r="I195" s="39"/>
      <c r="K195" s="39"/>
      <c r="L195" s="51"/>
      <c r="M195" s="39">
        <f>M196</f>
        <v>382.5</v>
      </c>
      <c r="N195" s="51"/>
      <c r="O195" s="66">
        <f>O196</f>
        <v>382.5</v>
      </c>
      <c r="Q195" s="66">
        <f>Q196</f>
        <v>382.5</v>
      </c>
    </row>
    <row r="196" spans="1:17" x14ac:dyDescent="0.25">
      <c r="A196" s="17" t="s">
        <v>225</v>
      </c>
      <c r="B196" s="34"/>
      <c r="C196" s="34" t="s">
        <v>24</v>
      </c>
      <c r="D196" s="34" t="s">
        <v>27</v>
      </c>
      <c r="E196" s="34" t="s">
        <v>310</v>
      </c>
      <c r="F196" s="34" t="s">
        <v>211</v>
      </c>
      <c r="G196" s="39"/>
      <c r="I196" s="39"/>
      <c r="K196" s="39"/>
      <c r="L196" s="51">
        <v>382.5</v>
      </c>
      <c r="M196" s="39">
        <f>K196+L196</f>
        <v>382.5</v>
      </c>
      <c r="N196" s="51"/>
      <c r="O196" s="66">
        <f>M196+N196</f>
        <v>382.5</v>
      </c>
      <c r="Q196" s="66">
        <f>O196+P196</f>
        <v>382.5</v>
      </c>
    </row>
    <row r="197" spans="1:17" x14ac:dyDescent="0.25">
      <c r="A197" s="36" t="s">
        <v>45</v>
      </c>
      <c r="B197" s="31"/>
      <c r="C197" s="31" t="s">
        <v>46</v>
      </c>
      <c r="D197" s="31"/>
      <c r="E197" s="31"/>
      <c r="F197" s="31"/>
      <c r="G197" s="40">
        <f>G202+G207</f>
        <v>300</v>
      </c>
      <c r="I197" s="40">
        <f>I202+I207</f>
        <v>300</v>
      </c>
      <c r="K197" s="40">
        <f>K202+K207</f>
        <v>300</v>
      </c>
      <c r="L197" s="51"/>
      <c r="M197" s="40">
        <f>M202+M207+M198</f>
        <v>2233.4899999999998</v>
      </c>
      <c r="N197" s="51"/>
      <c r="O197" s="65">
        <f>O202+O207+O198</f>
        <v>2321.5699999999997</v>
      </c>
      <c r="Q197" s="65">
        <f>Q202+Q207+Q198</f>
        <v>2321.5699999999997</v>
      </c>
    </row>
    <row r="198" spans="1:17" x14ac:dyDescent="0.25">
      <c r="A198" s="36" t="s">
        <v>419</v>
      </c>
      <c r="B198" s="31"/>
      <c r="C198" s="31" t="s">
        <v>46</v>
      </c>
      <c r="D198" s="31" t="s">
        <v>15</v>
      </c>
      <c r="E198" s="31"/>
      <c r="F198" s="31"/>
      <c r="G198" s="40"/>
      <c r="H198" s="52"/>
      <c r="I198" s="40"/>
      <c r="J198" s="52"/>
      <c r="K198" s="40"/>
      <c r="L198" s="52"/>
      <c r="M198" s="40">
        <f>M199</f>
        <v>770.7</v>
      </c>
      <c r="N198" s="52"/>
      <c r="O198" s="65">
        <f>O199</f>
        <v>770.7</v>
      </c>
      <c r="Q198" s="65">
        <f>Q199</f>
        <v>770.7</v>
      </c>
    </row>
    <row r="199" spans="1:17" x14ac:dyDescent="0.25">
      <c r="A199" s="17" t="s">
        <v>483</v>
      </c>
      <c r="B199" s="34"/>
      <c r="C199" s="34" t="s">
        <v>46</v>
      </c>
      <c r="D199" s="34" t="s">
        <v>15</v>
      </c>
      <c r="E199" s="34" t="s">
        <v>482</v>
      </c>
      <c r="F199" s="34"/>
      <c r="G199" s="39"/>
      <c r="I199" s="39"/>
      <c r="K199" s="39"/>
      <c r="L199" s="51"/>
      <c r="M199" s="39">
        <f>M200+M201</f>
        <v>770.7</v>
      </c>
      <c r="N199" s="51"/>
      <c r="O199" s="66">
        <f>O200+O201</f>
        <v>770.7</v>
      </c>
      <c r="Q199" s="66">
        <f>Q200+Q201</f>
        <v>770.7</v>
      </c>
    </row>
    <row r="200" spans="1:17" x14ac:dyDescent="0.25">
      <c r="A200" s="17" t="s">
        <v>225</v>
      </c>
      <c r="B200" s="34"/>
      <c r="C200" s="34" t="s">
        <v>46</v>
      </c>
      <c r="D200" s="34" t="s">
        <v>15</v>
      </c>
      <c r="E200" s="34" t="s">
        <v>482</v>
      </c>
      <c r="F200" s="34" t="s">
        <v>211</v>
      </c>
      <c r="G200" s="39"/>
      <c r="I200" s="39"/>
      <c r="K200" s="39"/>
      <c r="L200" s="51">
        <v>555.48</v>
      </c>
      <c r="M200" s="39">
        <f t="shared" ref="M200:M201" si="7">K200+L200</f>
        <v>555.48</v>
      </c>
      <c r="N200" s="51"/>
      <c r="O200" s="66">
        <f t="shared" ref="O200:Q201" si="8">M200+N200</f>
        <v>555.48</v>
      </c>
      <c r="Q200" s="66">
        <f t="shared" si="8"/>
        <v>555.48</v>
      </c>
    </row>
    <row r="201" spans="1:17" ht="61.5" customHeight="1" x14ac:dyDescent="0.25">
      <c r="A201" s="17" t="s">
        <v>241</v>
      </c>
      <c r="B201" s="34"/>
      <c r="C201" s="34" t="s">
        <v>46</v>
      </c>
      <c r="D201" s="34" t="s">
        <v>15</v>
      </c>
      <c r="E201" s="34" t="s">
        <v>482</v>
      </c>
      <c r="F201" s="34" t="s">
        <v>240</v>
      </c>
      <c r="G201" s="39"/>
      <c r="I201" s="39"/>
      <c r="K201" s="39"/>
      <c r="L201" s="51">
        <v>215.22</v>
      </c>
      <c r="M201" s="39">
        <f t="shared" si="7"/>
        <v>215.22</v>
      </c>
      <c r="N201" s="51"/>
      <c r="O201" s="66">
        <f t="shared" si="8"/>
        <v>215.22</v>
      </c>
      <c r="Q201" s="66">
        <f t="shared" si="8"/>
        <v>215.22</v>
      </c>
    </row>
    <row r="202" spans="1:17" x14ac:dyDescent="0.25">
      <c r="A202" s="36" t="s">
        <v>47</v>
      </c>
      <c r="B202" s="31"/>
      <c r="C202" s="31" t="s">
        <v>46</v>
      </c>
      <c r="D202" s="31" t="s">
        <v>17</v>
      </c>
      <c r="E202" s="31"/>
      <c r="F202" s="31"/>
      <c r="G202" s="40">
        <f>G203</f>
        <v>0</v>
      </c>
      <c r="I202" s="40">
        <f>I203</f>
        <v>0</v>
      </c>
      <c r="K202" s="40">
        <f>K203</f>
        <v>0</v>
      </c>
      <c r="L202" s="51"/>
      <c r="M202" s="40">
        <f>M203+M205</f>
        <v>1162.79</v>
      </c>
      <c r="N202" s="51"/>
      <c r="O202" s="65">
        <f>O203+O205</f>
        <v>1162.79</v>
      </c>
      <c r="Q202" s="65">
        <f>Q203+Q205</f>
        <v>1162.79</v>
      </c>
    </row>
    <row r="203" spans="1:17" ht="30.75" customHeight="1" x14ac:dyDescent="0.25">
      <c r="A203" s="17" t="s">
        <v>635</v>
      </c>
      <c r="B203" s="34"/>
      <c r="C203" s="34" t="s">
        <v>46</v>
      </c>
      <c r="D203" s="34" t="s">
        <v>17</v>
      </c>
      <c r="E203" s="34" t="s">
        <v>239</v>
      </c>
      <c r="F203" s="34"/>
      <c r="G203" s="39">
        <f>G204</f>
        <v>0</v>
      </c>
      <c r="I203" s="39">
        <f>I204</f>
        <v>0</v>
      </c>
      <c r="K203" s="39">
        <f>K204</f>
        <v>0</v>
      </c>
      <c r="L203" s="51"/>
      <c r="M203" s="39">
        <f>M204</f>
        <v>0</v>
      </c>
      <c r="N203" s="51"/>
      <c r="O203" s="66">
        <f>O204</f>
        <v>0</v>
      </c>
      <c r="Q203" s="66">
        <f>Q204</f>
        <v>0</v>
      </c>
    </row>
    <row r="204" spans="1:17" ht="16.5" customHeight="1" x14ac:dyDescent="0.25">
      <c r="A204" s="17" t="s">
        <v>346</v>
      </c>
      <c r="B204" s="34"/>
      <c r="C204" s="34" t="s">
        <v>46</v>
      </c>
      <c r="D204" s="34" t="s">
        <v>17</v>
      </c>
      <c r="E204" s="34" t="s">
        <v>239</v>
      </c>
      <c r="F204" s="34" t="s">
        <v>347</v>
      </c>
      <c r="G204" s="39"/>
      <c r="I204" s="39">
        <f>G204+H204</f>
        <v>0</v>
      </c>
      <c r="K204" s="39">
        <f>I204+J204</f>
        <v>0</v>
      </c>
      <c r="L204" s="51"/>
      <c r="M204" s="39">
        <f>K204+L204</f>
        <v>0</v>
      </c>
      <c r="N204" s="51"/>
      <c r="O204" s="66">
        <f>M204+N204</f>
        <v>0</v>
      </c>
      <c r="Q204" s="66">
        <f>O204+P204</f>
        <v>0</v>
      </c>
    </row>
    <row r="205" spans="1:17" ht="16.5" customHeight="1" x14ac:dyDescent="0.25">
      <c r="A205" s="43" t="s">
        <v>377</v>
      </c>
      <c r="B205" s="34"/>
      <c r="C205" s="34" t="s">
        <v>46</v>
      </c>
      <c r="D205" s="34" t="s">
        <v>17</v>
      </c>
      <c r="E205" s="34" t="s">
        <v>216</v>
      </c>
      <c r="F205" s="34"/>
      <c r="G205" s="39"/>
      <c r="I205" s="39"/>
      <c r="K205" s="39"/>
      <c r="L205" s="51"/>
      <c r="M205" s="39">
        <f>M206</f>
        <v>1162.79</v>
      </c>
      <c r="N205" s="51"/>
      <c r="O205" s="66">
        <f>O206</f>
        <v>1162.79</v>
      </c>
      <c r="Q205" s="66">
        <f>Q206</f>
        <v>1162.79</v>
      </c>
    </row>
    <row r="206" spans="1:17" ht="62.25" customHeight="1" x14ac:dyDescent="0.25">
      <c r="A206" s="17" t="s">
        <v>241</v>
      </c>
      <c r="B206" s="34"/>
      <c r="C206" s="34" t="s">
        <v>46</v>
      </c>
      <c r="D206" s="34" t="s">
        <v>17</v>
      </c>
      <c r="E206" s="34" t="s">
        <v>216</v>
      </c>
      <c r="F206" s="34" t="s">
        <v>240</v>
      </c>
      <c r="G206" s="39"/>
      <c r="I206" s="39"/>
      <c r="K206" s="39"/>
      <c r="L206" s="51">
        <v>1162.79</v>
      </c>
      <c r="M206" s="39">
        <f>K206+L206</f>
        <v>1162.79</v>
      </c>
      <c r="N206" s="51"/>
      <c r="O206" s="66">
        <f>M206+N206</f>
        <v>1162.79</v>
      </c>
      <c r="Q206" s="66">
        <f>O206+P206</f>
        <v>1162.79</v>
      </c>
    </row>
    <row r="207" spans="1:17" ht="16.5" customHeight="1" x14ac:dyDescent="0.25">
      <c r="A207" s="36" t="s">
        <v>48</v>
      </c>
      <c r="B207" s="31"/>
      <c r="C207" s="31" t="s">
        <v>46</v>
      </c>
      <c r="D207" s="31" t="s">
        <v>20</v>
      </c>
      <c r="E207" s="31"/>
      <c r="F207" s="31"/>
      <c r="G207" s="40">
        <f>G210</f>
        <v>300</v>
      </c>
      <c r="I207" s="40">
        <f>I210</f>
        <v>300</v>
      </c>
      <c r="K207" s="40">
        <f>K210</f>
        <v>300</v>
      </c>
      <c r="L207" s="51"/>
      <c r="M207" s="40">
        <f>M210</f>
        <v>300</v>
      </c>
      <c r="N207" s="51"/>
      <c r="O207" s="65">
        <f>O210+O208</f>
        <v>388.08</v>
      </c>
      <c r="Q207" s="65">
        <f>Q210+Q208</f>
        <v>388.08</v>
      </c>
    </row>
    <row r="208" spans="1:17" ht="16.5" customHeight="1" x14ac:dyDescent="0.25">
      <c r="A208" s="17" t="s">
        <v>577</v>
      </c>
      <c r="B208" s="34"/>
      <c r="C208" s="34" t="s">
        <v>46</v>
      </c>
      <c r="D208" s="34" t="s">
        <v>20</v>
      </c>
      <c r="E208" s="34" t="s">
        <v>216</v>
      </c>
      <c r="F208" s="34"/>
      <c r="G208" s="39"/>
      <c r="I208" s="39"/>
      <c r="K208" s="39"/>
      <c r="L208" s="51"/>
      <c r="M208" s="39"/>
      <c r="N208" s="51"/>
      <c r="O208" s="66">
        <f>O209</f>
        <v>88.08</v>
      </c>
      <c r="Q208" s="66">
        <f>Q209</f>
        <v>88.08</v>
      </c>
    </row>
    <row r="209" spans="1:17" ht="16.5" customHeight="1" x14ac:dyDescent="0.25">
      <c r="A209" s="17" t="s">
        <v>578</v>
      </c>
      <c r="B209" s="34"/>
      <c r="C209" s="34" t="s">
        <v>46</v>
      </c>
      <c r="D209" s="34" t="s">
        <v>20</v>
      </c>
      <c r="E209" s="34" t="s">
        <v>216</v>
      </c>
      <c r="F209" s="34" t="s">
        <v>211</v>
      </c>
      <c r="G209" s="39"/>
      <c r="I209" s="39"/>
      <c r="K209" s="39"/>
      <c r="L209" s="51"/>
      <c r="M209" s="39"/>
      <c r="N209" s="51">
        <v>88.08</v>
      </c>
      <c r="O209" s="66">
        <f>M209+N209</f>
        <v>88.08</v>
      </c>
      <c r="Q209" s="66">
        <f>O209+P209</f>
        <v>88.08</v>
      </c>
    </row>
    <row r="210" spans="1:17" ht="16.5" customHeight="1" x14ac:dyDescent="0.25">
      <c r="A210" s="17" t="s">
        <v>99</v>
      </c>
      <c r="B210" s="34"/>
      <c r="C210" s="34" t="s">
        <v>46</v>
      </c>
      <c r="D210" s="34" t="s">
        <v>20</v>
      </c>
      <c r="E210" s="34" t="s">
        <v>397</v>
      </c>
      <c r="F210" s="34"/>
      <c r="G210" s="39">
        <f>G211</f>
        <v>300</v>
      </c>
      <c r="I210" s="39">
        <f>I211</f>
        <v>300</v>
      </c>
      <c r="K210" s="39">
        <f>K211</f>
        <v>300</v>
      </c>
      <c r="L210" s="51"/>
      <c r="M210" s="39">
        <f>M211</f>
        <v>300</v>
      </c>
      <c r="N210" s="51"/>
      <c r="O210" s="66">
        <f>O211</f>
        <v>300</v>
      </c>
      <c r="Q210" s="66">
        <f>Q211</f>
        <v>300</v>
      </c>
    </row>
    <row r="211" spans="1:17" ht="32.25" customHeight="1" x14ac:dyDescent="0.25">
      <c r="A211" s="17" t="s">
        <v>273</v>
      </c>
      <c r="B211" s="34"/>
      <c r="C211" s="34" t="s">
        <v>46</v>
      </c>
      <c r="D211" s="34" t="s">
        <v>20</v>
      </c>
      <c r="E211" s="34" t="s">
        <v>397</v>
      </c>
      <c r="F211" s="34" t="s">
        <v>272</v>
      </c>
      <c r="G211" s="39">
        <v>300</v>
      </c>
      <c r="I211" s="39">
        <f>G211+H211</f>
        <v>300</v>
      </c>
      <c r="K211" s="39">
        <f>I211+J211</f>
        <v>300</v>
      </c>
      <c r="L211" s="51"/>
      <c r="M211" s="39">
        <f>K211+L211</f>
        <v>300</v>
      </c>
      <c r="N211" s="51"/>
      <c r="O211" s="66">
        <f>M211+N211</f>
        <v>300</v>
      </c>
      <c r="Q211" s="66">
        <f>O211+P211</f>
        <v>300</v>
      </c>
    </row>
    <row r="212" spans="1:17" x14ac:dyDescent="0.25">
      <c r="A212" s="36" t="s">
        <v>55</v>
      </c>
      <c r="B212" s="31"/>
      <c r="C212" s="31" t="s">
        <v>56</v>
      </c>
      <c r="D212" s="31"/>
      <c r="E212" s="31"/>
      <c r="F212" s="31"/>
      <c r="G212" s="40">
        <f>G213+G237+G270+G274+G281</f>
        <v>150039.69</v>
      </c>
      <c r="I212" s="40">
        <f>I213+I237+I270+I274+I281</f>
        <v>150039.69</v>
      </c>
      <c r="K212" s="40">
        <f>K213+K237+K270+K274+K281</f>
        <v>150039.69</v>
      </c>
      <c r="L212" s="51"/>
      <c r="M212" s="40">
        <f>M213+M237+M270+M274+M281</f>
        <v>153899.19</v>
      </c>
      <c r="N212" s="51"/>
      <c r="O212" s="65">
        <f>O213+O237+O270+O274+O281</f>
        <v>155552.16999999998</v>
      </c>
      <c r="Q212" s="65">
        <f>Q213+Q237+Q270+Q274+Q281</f>
        <v>155552.16999999998</v>
      </c>
    </row>
    <row r="213" spans="1:17" ht="15" customHeight="1" x14ac:dyDescent="0.25">
      <c r="A213" s="36" t="s">
        <v>57</v>
      </c>
      <c r="B213" s="31"/>
      <c r="C213" s="31" t="s">
        <v>56</v>
      </c>
      <c r="D213" s="31" t="s">
        <v>15</v>
      </c>
      <c r="E213" s="31"/>
      <c r="F213" s="31"/>
      <c r="G213" s="40">
        <f>G216</f>
        <v>49007.89</v>
      </c>
      <c r="I213" s="40">
        <f>I216</f>
        <v>49007.89</v>
      </c>
      <c r="K213" s="40">
        <f>K216</f>
        <v>49007.89</v>
      </c>
      <c r="L213" s="51"/>
      <c r="M213" s="40">
        <f>M216+M231</f>
        <v>52999.75</v>
      </c>
      <c r="N213" s="51"/>
      <c r="O213" s="65">
        <f>O216+O231+O214+O234</f>
        <v>55670.87</v>
      </c>
      <c r="Q213" s="65">
        <f>Q216+Q231+Q214+Q234</f>
        <v>55670.87</v>
      </c>
    </row>
    <row r="214" spans="1:17" ht="15" customHeight="1" x14ac:dyDescent="0.25">
      <c r="A214" s="17" t="s">
        <v>580</v>
      </c>
      <c r="B214" s="34"/>
      <c r="C214" s="34" t="s">
        <v>56</v>
      </c>
      <c r="D214" s="34" t="s">
        <v>15</v>
      </c>
      <c r="E214" s="34" t="s">
        <v>579</v>
      </c>
      <c r="F214" s="34"/>
      <c r="G214" s="39"/>
      <c r="I214" s="39"/>
      <c r="K214" s="39"/>
      <c r="L214" s="51"/>
      <c r="M214" s="39"/>
      <c r="N214" s="51"/>
      <c r="O214" s="66">
        <f>O215</f>
        <v>884.82</v>
      </c>
      <c r="Q214" s="66">
        <f>Q215</f>
        <v>884.82</v>
      </c>
    </row>
    <row r="215" spans="1:17" ht="15" customHeight="1" x14ac:dyDescent="0.25">
      <c r="A215" s="17" t="s">
        <v>246</v>
      </c>
      <c r="B215" s="34"/>
      <c r="C215" s="34" t="s">
        <v>56</v>
      </c>
      <c r="D215" s="34" t="s">
        <v>15</v>
      </c>
      <c r="E215" s="34" t="s">
        <v>579</v>
      </c>
      <c r="F215" s="34" t="s">
        <v>245</v>
      </c>
      <c r="G215" s="39"/>
      <c r="I215" s="39"/>
      <c r="K215" s="39"/>
      <c r="L215" s="51"/>
      <c r="M215" s="39"/>
      <c r="N215" s="51">
        <v>884.82</v>
      </c>
      <c r="O215" s="66">
        <f>M215+N215</f>
        <v>884.82</v>
      </c>
      <c r="Q215" s="66">
        <f>O215+P215</f>
        <v>884.82</v>
      </c>
    </row>
    <row r="216" spans="1:17" ht="15" customHeight="1" x14ac:dyDescent="0.25">
      <c r="A216" s="17" t="s">
        <v>339</v>
      </c>
      <c r="B216" s="34"/>
      <c r="C216" s="34" t="s">
        <v>56</v>
      </c>
      <c r="D216" s="34" t="s">
        <v>15</v>
      </c>
      <c r="E216" s="34" t="s">
        <v>338</v>
      </c>
      <c r="F216" s="34"/>
      <c r="G216" s="39">
        <f>G217+G221+G225</f>
        <v>49007.89</v>
      </c>
      <c r="I216" s="39">
        <f>I217+I221+I225</f>
        <v>49007.89</v>
      </c>
      <c r="K216" s="39">
        <f>K217+K221+K225</f>
        <v>49007.89</v>
      </c>
      <c r="L216" s="51"/>
      <c r="M216" s="39">
        <f>M217+M221+M225+M219+M228</f>
        <v>50761.75</v>
      </c>
      <c r="N216" s="51"/>
      <c r="O216" s="66">
        <f>O217+O221+O225+O219+O228</f>
        <v>50761.75</v>
      </c>
      <c r="Q216" s="66">
        <f>Q217+Q221+Q225+Q219+Q228</f>
        <v>50761.75</v>
      </c>
    </row>
    <row r="217" spans="1:17" ht="46.5" customHeight="1" x14ac:dyDescent="0.25">
      <c r="A217" s="43" t="s">
        <v>381</v>
      </c>
      <c r="B217" s="34"/>
      <c r="C217" s="34" t="s">
        <v>56</v>
      </c>
      <c r="D217" s="34" t="s">
        <v>15</v>
      </c>
      <c r="E217" s="34" t="s">
        <v>337</v>
      </c>
      <c r="F217" s="34"/>
      <c r="G217" s="39">
        <f>G218</f>
        <v>144.09</v>
      </c>
      <c r="I217" s="39">
        <f>I218</f>
        <v>144.09</v>
      </c>
      <c r="K217" s="39">
        <f>K218</f>
        <v>144.09</v>
      </c>
      <c r="L217" s="51"/>
      <c r="M217" s="39">
        <f>M218</f>
        <v>144.09</v>
      </c>
      <c r="N217" s="51"/>
      <c r="O217" s="66">
        <f>O218</f>
        <v>144.09</v>
      </c>
      <c r="Q217" s="66">
        <f>Q218</f>
        <v>144.09</v>
      </c>
    </row>
    <row r="218" spans="1:17" ht="31.5" customHeight="1" x14ac:dyDescent="0.25">
      <c r="A218" s="17" t="s">
        <v>243</v>
      </c>
      <c r="B218" s="34"/>
      <c r="C218" s="34" t="s">
        <v>56</v>
      </c>
      <c r="D218" s="34" t="s">
        <v>15</v>
      </c>
      <c r="E218" s="34" t="s">
        <v>337</v>
      </c>
      <c r="F218" s="34" t="s">
        <v>244</v>
      </c>
      <c r="G218" s="39">
        <v>144.09</v>
      </c>
      <c r="I218" s="39">
        <f>G218+H218</f>
        <v>144.09</v>
      </c>
      <c r="K218" s="39">
        <f>I218+J218</f>
        <v>144.09</v>
      </c>
      <c r="L218" s="51"/>
      <c r="M218" s="39">
        <f>K218+L218</f>
        <v>144.09</v>
      </c>
      <c r="N218" s="51"/>
      <c r="O218" s="66">
        <f>M218+N218</f>
        <v>144.09</v>
      </c>
      <c r="Q218" s="66">
        <f>O218+P218</f>
        <v>144.09</v>
      </c>
    </row>
    <row r="219" spans="1:17" ht="47.25" customHeight="1" x14ac:dyDescent="0.25">
      <c r="A219" s="17" t="s">
        <v>487</v>
      </c>
      <c r="B219" s="34"/>
      <c r="C219" s="34" t="s">
        <v>56</v>
      </c>
      <c r="D219" s="34" t="s">
        <v>15</v>
      </c>
      <c r="E219" s="34" t="s">
        <v>486</v>
      </c>
      <c r="F219" s="34"/>
      <c r="G219" s="39"/>
      <c r="I219" s="39"/>
      <c r="K219" s="39"/>
      <c r="L219" s="51"/>
      <c r="M219" s="39">
        <f>M220</f>
        <v>371.28</v>
      </c>
      <c r="N219" s="51"/>
      <c r="O219" s="66">
        <f>O220</f>
        <v>371.28</v>
      </c>
      <c r="Q219" s="66">
        <f>Q220</f>
        <v>371.28</v>
      </c>
    </row>
    <row r="220" spans="1:17" ht="15" customHeight="1" x14ac:dyDescent="0.25">
      <c r="A220" s="17" t="s">
        <v>250</v>
      </c>
      <c r="B220" s="34"/>
      <c r="C220" s="34" t="s">
        <v>56</v>
      </c>
      <c r="D220" s="34" t="s">
        <v>15</v>
      </c>
      <c r="E220" s="34" t="s">
        <v>486</v>
      </c>
      <c r="F220" s="34" t="s">
        <v>249</v>
      </c>
      <c r="G220" s="39"/>
      <c r="I220" s="39"/>
      <c r="K220" s="39"/>
      <c r="L220" s="51">
        <v>371.28</v>
      </c>
      <c r="M220" s="39">
        <f>K220+L220</f>
        <v>371.28</v>
      </c>
      <c r="N220" s="51"/>
      <c r="O220" s="66">
        <f>M220+N220</f>
        <v>371.28</v>
      </c>
      <c r="Q220" s="66">
        <f>O220+P220</f>
        <v>371.28</v>
      </c>
    </row>
    <row r="221" spans="1:17" ht="17.25" customHeight="1" x14ac:dyDescent="0.25">
      <c r="A221" s="17" t="s">
        <v>52</v>
      </c>
      <c r="B221" s="34"/>
      <c r="C221" s="34" t="s">
        <v>56</v>
      </c>
      <c r="D221" s="34" t="s">
        <v>15</v>
      </c>
      <c r="E221" s="34" t="s">
        <v>242</v>
      </c>
      <c r="F221" s="34"/>
      <c r="G221" s="39">
        <f>G222</f>
        <v>13493.7</v>
      </c>
      <c r="I221" s="39">
        <f>I222</f>
        <v>13493.7</v>
      </c>
      <c r="K221" s="39">
        <f>K222</f>
        <v>13493.7</v>
      </c>
      <c r="L221" s="51"/>
      <c r="M221" s="39">
        <f>M222</f>
        <v>13493.7</v>
      </c>
      <c r="N221" s="51"/>
      <c r="O221" s="66">
        <f>O222</f>
        <v>13493.7</v>
      </c>
      <c r="Q221" s="66">
        <f>Q222</f>
        <v>13493.7</v>
      </c>
    </row>
    <row r="222" spans="1:17" x14ac:dyDescent="0.25">
      <c r="A222" s="17" t="s">
        <v>252</v>
      </c>
      <c r="B222" s="34"/>
      <c r="C222" s="34" t="s">
        <v>56</v>
      </c>
      <c r="D222" s="34" t="s">
        <v>15</v>
      </c>
      <c r="E222" s="34" t="s">
        <v>242</v>
      </c>
      <c r="F222" s="34" t="s">
        <v>251</v>
      </c>
      <c r="G222" s="39">
        <f>G223+G224</f>
        <v>13493.7</v>
      </c>
      <c r="I222" s="39">
        <f>I223+I224</f>
        <v>13493.7</v>
      </c>
      <c r="K222" s="39">
        <f>K223+K224</f>
        <v>13493.7</v>
      </c>
      <c r="L222" s="51"/>
      <c r="M222" s="39">
        <f>M223+M224</f>
        <v>13493.7</v>
      </c>
      <c r="N222" s="51"/>
      <c r="O222" s="66">
        <f>O223+O224</f>
        <v>13493.7</v>
      </c>
      <c r="Q222" s="66">
        <f>Q223+Q224</f>
        <v>13493.7</v>
      </c>
    </row>
    <row r="223" spans="1:17" ht="28.5" customHeight="1" x14ac:dyDescent="0.25">
      <c r="A223" s="17" t="s">
        <v>243</v>
      </c>
      <c r="B223" s="34"/>
      <c r="C223" s="34" t="s">
        <v>56</v>
      </c>
      <c r="D223" s="34" t="s">
        <v>15</v>
      </c>
      <c r="E223" s="34" t="s">
        <v>242</v>
      </c>
      <c r="F223" s="34" t="s">
        <v>244</v>
      </c>
      <c r="G223" s="39">
        <f>9932.2+3516.1</f>
        <v>13448.300000000001</v>
      </c>
      <c r="I223" s="39">
        <f>G223+H223</f>
        <v>13448.300000000001</v>
      </c>
      <c r="K223" s="39">
        <f>I223+J223</f>
        <v>13448.300000000001</v>
      </c>
      <c r="L223" s="51"/>
      <c r="M223" s="39">
        <f>K223+L223</f>
        <v>13448.300000000001</v>
      </c>
      <c r="N223" s="51"/>
      <c r="O223" s="66">
        <f>M223+N223</f>
        <v>13448.300000000001</v>
      </c>
      <c r="Q223" s="66">
        <f>O223+P223</f>
        <v>13448.300000000001</v>
      </c>
    </row>
    <row r="224" spans="1:17" ht="16.5" customHeight="1" x14ac:dyDescent="0.25">
      <c r="A224" s="17" t="s">
        <v>246</v>
      </c>
      <c r="B224" s="34"/>
      <c r="C224" s="34" t="s">
        <v>56</v>
      </c>
      <c r="D224" s="34" t="s">
        <v>15</v>
      </c>
      <c r="E224" s="34" t="s">
        <v>242</v>
      </c>
      <c r="F224" s="34" t="s">
        <v>245</v>
      </c>
      <c r="G224" s="39">
        <f>45.4+5500-5500</f>
        <v>45.399999999999636</v>
      </c>
      <c r="I224" s="39">
        <f>G224+H224</f>
        <v>45.399999999999636</v>
      </c>
      <c r="K224" s="39">
        <f>I224+J224</f>
        <v>45.399999999999636</v>
      </c>
      <c r="L224" s="51"/>
      <c r="M224" s="39">
        <f>K224+L224</f>
        <v>45.399999999999636</v>
      </c>
      <c r="N224" s="51"/>
      <c r="O224" s="66">
        <f>M224+N224</f>
        <v>45.399999999999636</v>
      </c>
      <c r="Q224" s="66">
        <f>O224+P224</f>
        <v>45.399999999999636</v>
      </c>
    </row>
    <row r="225" spans="1:17" ht="15" customHeight="1" x14ac:dyDescent="0.25">
      <c r="A225" s="17" t="s">
        <v>253</v>
      </c>
      <c r="B225" s="34"/>
      <c r="C225" s="34" t="s">
        <v>56</v>
      </c>
      <c r="D225" s="34" t="s">
        <v>15</v>
      </c>
      <c r="E225" s="34" t="s">
        <v>242</v>
      </c>
      <c r="F225" s="34" t="s">
        <v>255</v>
      </c>
      <c r="G225" s="39">
        <f>G226+G227</f>
        <v>35370.1</v>
      </c>
      <c r="I225" s="39">
        <f>I226+I227</f>
        <v>35370.1</v>
      </c>
      <c r="K225" s="39">
        <f>K226+K227</f>
        <v>35370.1</v>
      </c>
      <c r="L225" s="51"/>
      <c r="M225" s="39">
        <f>M226+M227</f>
        <v>35843.78</v>
      </c>
      <c r="N225" s="51"/>
      <c r="O225" s="66">
        <f>O226+O227</f>
        <v>35843.78</v>
      </c>
      <c r="Q225" s="66">
        <f>Q226+Q227</f>
        <v>35843.78</v>
      </c>
    </row>
    <row r="226" spans="1:17" ht="31.5" customHeight="1" x14ac:dyDescent="0.25">
      <c r="A226" s="17" t="s">
        <v>247</v>
      </c>
      <c r="B226" s="34"/>
      <c r="C226" s="34" t="s">
        <v>56</v>
      </c>
      <c r="D226" s="34" t="s">
        <v>15</v>
      </c>
      <c r="E226" s="34" t="s">
        <v>242</v>
      </c>
      <c r="F226" s="34" t="s">
        <v>248</v>
      </c>
      <c r="G226" s="39">
        <f>23187.7+8912.4+3200</f>
        <v>35300.1</v>
      </c>
      <c r="I226" s="39">
        <f>G226+H226</f>
        <v>35300.1</v>
      </c>
      <c r="K226" s="39">
        <f>I226+J226</f>
        <v>35300.1</v>
      </c>
      <c r="L226" s="51">
        <v>473.68</v>
      </c>
      <c r="M226" s="39">
        <f>K226+L226</f>
        <v>35773.78</v>
      </c>
      <c r="N226" s="51"/>
      <c r="O226" s="66">
        <f>M226+N226</f>
        <v>35773.78</v>
      </c>
      <c r="Q226" s="66">
        <f>O226+P226</f>
        <v>35773.78</v>
      </c>
    </row>
    <row r="227" spans="1:17" x14ac:dyDescent="0.25">
      <c r="A227" s="17" t="s">
        <v>250</v>
      </c>
      <c r="B227" s="34"/>
      <c r="C227" s="34" t="s">
        <v>56</v>
      </c>
      <c r="D227" s="34" t="s">
        <v>15</v>
      </c>
      <c r="E227" s="34" t="s">
        <v>242</v>
      </c>
      <c r="F227" s="34" t="s">
        <v>249</v>
      </c>
      <c r="G227" s="39">
        <v>70</v>
      </c>
      <c r="I227" s="39">
        <f>G227+H227</f>
        <v>70</v>
      </c>
      <c r="K227" s="39">
        <f>I227+J227</f>
        <v>70</v>
      </c>
      <c r="L227" s="51"/>
      <c r="M227" s="39">
        <f>K227+L227</f>
        <v>70</v>
      </c>
      <c r="N227" s="51"/>
      <c r="O227" s="66">
        <f>M227+N227</f>
        <v>70</v>
      </c>
      <c r="Q227" s="66">
        <f>O227+P227</f>
        <v>70</v>
      </c>
    </row>
    <row r="228" spans="1:17" ht="31.5" customHeight="1" x14ac:dyDescent="0.25">
      <c r="A228" s="17" t="s">
        <v>490</v>
      </c>
      <c r="B228" s="34"/>
      <c r="C228" s="34" t="s">
        <v>56</v>
      </c>
      <c r="D228" s="34" t="s">
        <v>15</v>
      </c>
      <c r="E228" s="34" t="s">
        <v>488</v>
      </c>
      <c r="F228" s="34"/>
      <c r="G228" s="39"/>
      <c r="I228" s="39"/>
      <c r="K228" s="39"/>
      <c r="L228" s="51"/>
      <c r="M228" s="39">
        <f>M229+M230</f>
        <v>908.90000000000009</v>
      </c>
      <c r="N228" s="51"/>
      <c r="O228" s="66">
        <f>O229+O230</f>
        <v>908.90000000000009</v>
      </c>
      <c r="Q228" s="66">
        <f>Q229+Q230</f>
        <v>908.90000000000009</v>
      </c>
    </row>
    <row r="229" spans="1:17" ht="31.5" customHeight="1" x14ac:dyDescent="0.25">
      <c r="A229" s="17" t="s">
        <v>243</v>
      </c>
      <c r="B229" s="34"/>
      <c r="C229" s="34" t="s">
        <v>56</v>
      </c>
      <c r="D229" s="34" t="s">
        <v>15</v>
      </c>
      <c r="E229" s="34" t="s">
        <v>488</v>
      </c>
      <c r="F229" s="34" t="s">
        <v>244</v>
      </c>
      <c r="G229" s="39"/>
      <c r="I229" s="39"/>
      <c r="K229" s="39"/>
      <c r="L229" s="51">
        <v>279.8</v>
      </c>
      <c r="M229" s="39">
        <f>K229+L229</f>
        <v>279.8</v>
      </c>
      <c r="N229" s="51"/>
      <c r="O229" s="66">
        <f>M229+N229</f>
        <v>279.8</v>
      </c>
      <c r="Q229" s="66">
        <f>O229+P229</f>
        <v>279.8</v>
      </c>
    </row>
    <row r="230" spans="1:17" ht="31.5" customHeight="1" x14ac:dyDescent="0.25">
      <c r="A230" s="17" t="s">
        <v>247</v>
      </c>
      <c r="B230" s="34"/>
      <c r="C230" s="34" t="s">
        <v>56</v>
      </c>
      <c r="D230" s="34" t="s">
        <v>15</v>
      </c>
      <c r="E230" s="34" t="s">
        <v>488</v>
      </c>
      <c r="F230" s="34" t="s">
        <v>248</v>
      </c>
      <c r="G230" s="39"/>
      <c r="I230" s="39"/>
      <c r="K230" s="39"/>
      <c r="L230" s="51">
        <v>629.1</v>
      </c>
      <c r="M230" s="39">
        <f>K230+L230</f>
        <v>629.1</v>
      </c>
      <c r="N230" s="51"/>
      <c r="O230" s="66">
        <f>M230+N230</f>
        <v>629.1</v>
      </c>
      <c r="Q230" s="66">
        <f>O230+P230</f>
        <v>629.1</v>
      </c>
    </row>
    <row r="231" spans="1:17" ht="45.75" customHeight="1" x14ac:dyDescent="0.25">
      <c r="A231" s="17" t="s">
        <v>491</v>
      </c>
      <c r="B231" s="34"/>
      <c r="C231" s="34" t="s">
        <v>56</v>
      </c>
      <c r="D231" s="34" t="s">
        <v>15</v>
      </c>
      <c r="E231" s="34" t="s">
        <v>489</v>
      </c>
      <c r="F231" s="34"/>
      <c r="G231" s="39"/>
      <c r="I231" s="39"/>
      <c r="K231" s="39"/>
      <c r="L231" s="51"/>
      <c r="M231" s="39">
        <f>M232+M233</f>
        <v>2238</v>
      </c>
      <c r="N231" s="51"/>
      <c r="O231" s="66">
        <f>O232+O233</f>
        <v>2238</v>
      </c>
      <c r="Q231" s="66">
        <f>Q232+Q233</f>
        <v>2238</v>
      </c>
    </row>
    <row r="232" spans="1:17" ht="31.5" x14ac:dyDescent="0.25">
      <c r="A232" s="17" t="s">
        <v>243</v>
      </c>
      <c r="B232" s="34"/>
      <c r="C232" s="34" t="s">
        <v>56</v>
      </c>
      <c r="D232" s="34" t="s">
        <v>15</v>
      </c>
      <c r="E232" s="34" t="s">
        <v>489</v>
      </c>
      <c r="F232" s="34" t="s">
        <v>244</v>
      </c>
      <c r="G232" s="39"/>
      <c r="I232" s="39"/>
      <c r="K232" s="39"/>
      <c r="L232" s="51">
        <v>688.8</v>
      </c>
      <c r="M232" s="39">
        <f>K232+L232</f>
        <v>688.8</v>
      </c>
      <c r="N232" s="51"/>
      <c r="O232" s="66">
        <f>M232+N232</f>
        <v>688.8</v>
      </c>
      <c r="Q232" s="66">
        <f>O232+P232</f>
        <v>688.8</v>
      </c>
    </row>
    <row r="233" spans="1:17" ht="31.5" x14ac:dyDescent="0.25">
      <c r="A233" s="17" t="s">
        <v>247</v>
      </c>
      <c r="B233" s="34"/>
      <c r="C233" s="34" t="s">
        <v>56</v>
      </c>
      <c r="D233" s="34" t="s">
        <v>15</v>
      </c>
      <c r="E233" s="34" t="s">
        <v>489</v>
      </c>
      <c r="F233" s="34" t="s">
        <v>248</v>
      </c>
      <c r="G233" s="39"/>
      <c r="I233" s="39"/>
      <c r="K233" s="39"/>
      <c r="L233" s="51">
        <v>1549.2</v>
      </c>
      <c r="M233" s="39">
        <f>K233+L233</f>
        <v>1549.2</v>
      </c>
      <c r="N233" s="51"/>
      <c r="O233" s="66">
        <f>M233+N233</f>
        <v>1549.2</v>
      </c>
      <c r="Q233" s="66">
        <f>O233+P233</f>
        <v>1549.2</v>
      </c>
    </row>
    <row r="234" spans="1:17" x14ac:dyDescent="0.25">
      <c r="A234" s="17" t="s">
        <v>581</v>
      </c>
      <c r="B234" s="34"/>
      <c r="C234" s="34" t="s">
        <v>56</v>
      </c>
      <c r="D234" s="34" t="s">
        <v>15</v>
      </c>
      <c r="E234" s="34" t="s">
        <v>399</v>
      </c>
      <c r="F234" s="34"/>
      <c r="G234" s="39"/>
      <c r="I234" s="39"/>
      <c r="K234" s="39"/>
      <c r="L234" s="51"/>
      <c r="M234" s="39"/>
      <c r="N234" s="51"/>
      <c r="O234" s="66">
        <f>O235+O236</f>
        <v>1786.3</v>
      </c>
      <c r="Q234" s="66">
        <f>Q235+Q236</f>
        <v>1786.3</v>
      </c>
    </row>
    <row r="235" spans="1:17" x14ac:dyDescent="0.25">
      <c r="A235" s="17" t="s">
        <v>246</v>
      </c>
      <c r="B235" s="34"/>
      <c r="C235" s="34" t="s">
        <v>56</v>
      </c>
      <c r="D235" s="34" t="s">
        <v>15</v>
      </c>
      <c r="E235" s="34" t="s">
        <v>399</v>
      </c>
      <c r="F235" s="34" t="s">
        <v>245</v>
      </c>
      <c r="G235" s="39"/>
      <c r="I235" s="39"/>
      <c r="K235" s="39"/>
      <c r="L235" s="51"/>
      <c r="M235" s="39"/>
      <c r="N235" s="51">
        <v>1237</v>
      </c>
      <c r="O235" s="66">
        <f>M235+N235</f>
        <v>1237</v>
      </c>
      <c r="Q235" s="66">
        <f>O235+P235</f>
        <v>1237</v>
      </c>
    </row>
    <row r="236" spans="1:17" x14ac:dyDescent="0.25">
      <c r="A236" s="17" t="s">
        <v>250</v>
      </c>
      <c r="B236" s="34"/>
      <c r="C236" s="34" t="s">
        <v>56</v>
      </c>
      <c r="D236" s="34" t="s">
        <v>15</v>
      </c>
      <c r="E236" s="34" t="s">
        <v>399</v>
      </c>
      <c r="F236" s="34" t="s">
        <v>249</v>
      </c>
      <c r="G236" s="39"/>
      <c r="I236" s="39"/>
      <c r="K236" s="39"/>
      <c r="L236" s="51"/>
      <c r="M236" s="39"/>
      <c r="N236" s="51">
        <v>549.29999999999995</v>
      </c>
      <c r="O236" s="66">
        <f>M236+N236</f>
        <v>549.29999999999995</v>
      </c>
      <c r="Q236" s="66">
        <f>O236+P236</f>
        <v>549.29999999999995</v>
      </c>
    </row>
    <row r="237" spans="1:17" x14ac:dyDescent="0.25">
      <c r="A237" s="36" t="s">
        <v>80</v>
      </c>
      <c r="B237" s="31"/>
      <c r="C237" s="31" t="s">
        <v>56</v>
      </c>
      <c r="D237" s="31" t="s">
        <v>17</v>
      </c>
      <c r="E237" s="31"/>
      <c r="F237" s="31"/>
      <c r="G237" s="40">
        <f>G238+G255+G245+G264</f>
        <v>98004</v>
      </c>
      <c r="I237" s="40">
        <f>I238+I255+I245+I264</f>
        <v>98004</v>
      </c>
      <c r="K237" s="40">
        <f>K238+K255+K245+K264</f>
        <v>98004</v>
      </c>
      <c r="L237" s="51"/>
      <c r="M237" s="40">
        <f>M238+M255+M245+M264+M249+M262</f>
        <v>97304.639999999999</v>
      </c>
      <c r="N237" s="51"/>
      <c r="O237" s="65">
        <f>O238+O255+O245+O264+O249+O262+O252+O267</f>
        <v>96063.39</v>
      </c>
      <c r="Q237" s="65">
        <f>Q238+Q255+Q245+Q264+Q249+Q262+Q252+Q267</f>
        <v>96063.39</v>
      </c>
    </row>
    <row r="238" spans="1:17" ht="15" customHeight="1" x14ac:dyDescent="0.25">
      <c r="A238" s="17" t="s">
        <v>118</v>
      </c>
      <c r="B238" s="34"/>
      <c r="C238" s="34" t="s">
        <v>56</v>
      </c>
      <c r="D238" s="34" t="s">
        <v>17</v>
      </c>
      <c r="E238" s="34" t="s">
        <v>254</v>
      </c>
      <c r="F238" s="34"/>
      <c r="G238" s="39">
        <f>G239+G242</f>
        <v>17665.599999999999</v>
      </c>
      <c r="I238" s="39">
        <f>I239+I242</f>
        <v>17665.599999999999</v>
      </c>
      <c r="K238" s="39">
        <f>K239+K242</f>
        <v>17665.599999999999</v>
      </c>
      <c r="L238" s="51"/>
      <c r="M238" s="39">
        <f>M239+M242</f>
        <v>13903.94</v>
      </c>
      <c r="N238" s="51"/>
      <c r="O238" s="66">
        <f>O239+O242</f>
        <v>13603.939999999999</v>
      </c>
      <c r="Q238" s="66">
        <f>Q239+Q242</f>
        <v>13603.939999999999</v>
      </c>
    </row>
    <row r="239" spans="1:17" x14ac:dyDescent="0.25">
      <c r="A239" s="17" t="s">
        <v>252</v>
      </c>
      <c r="B239" s="34"/>
      <c r="C239" s="34" t="s">
        <v>56</v>
      </c>
      <c r="D239" s="34" t="s">
        <v>17</v>
      </c>
      <c r="E239" s="34" t="s">
        <v>254</v>
      </c>
      <c r="F239" s="34" t="s">
        <v>251</v>
      </c>
      <c r="G239" s="39">
        <f>G240+G241</f>
        <v>3085</v>
      </c>
      <c r="I239" s="39">
        <f>I240+I241</f>
        <v>3085</v>
      </c>
      <c r="K239" s="39">
        <f>K240+K241</f>
        <v>3085</v>
      </c>
      <c r="L239" s="51"/>
      <c r="M239" s="39">
        <f>M240+M241</f>
        <v>2135.34</v>
      </c>
      <c r="N239" s="51"/>
      <c r="O239" s="66">
        <f>O240+O241</f>
        <v>2927.3599999999997</v>
      </c>
      <c r="Q239" s="66">
        <f>Q240+Q241</f>
        <v>2927.3599999999997</v>
      </c>
    </row>
    <row r="240" spans="1:17" ht="29.25" customHeight="1" x14ac:dyDescent="0.25">
      <c r="A240" s="17" t="s">
        <v>243</v>
      </c>
      <c r="B240" s="34"/>
      <c r="C240" s="34" t="s">
        <v>56</v>
      </c>
      <c r="D240" s="34" t="s">
        <v>17</v>
      </c>
      <c r="E240" s="34" t="s">
        <v>254</v>
      </c>
      <c r="F240" s="34" t="s">
        <v>244</v>
      </c>
      <c r="G240" s="39">
        <f xml:space="preserve"> 1182.3</f>
        <v>1182.3</v>
      </c>
      <c r="I240" s="39">
        <f>G240+H240</f>
        <v>1182.3</v>
      </c>
      <c r="K240" s="39">
        <f>I240+J240</f>
        <v>1182.3</v>
      </c>
      <c r="L240" s="51">
        <v>1088.4000000000001</v>
      </c>
      <c r="M240" s="39">
        <f>K240+L240</f>
        <v>2270.6999999999998</v>
      </c>
      <c r="N240" s="51"/>
      <c r="O240" s="66">
        <f>M240+N240</f>
        <v>2270.6999999999998</v>
      </c>
      <c r="Q240" s="66">
        <f>O240+P240</f>
        <v>2270.6999999999998</v>
      </c>
    </row>
    <row r="241" spans="1:17" x14ac:dyDescent="0.25">
      <c r="A241" s="17" t="s">
        <v>246</v>
      </c>
      <c r="B241" s="34"/>
      <c r="C241" s="34" t="s">
        <v>56</v>
      </c>
      <c r="D241" s="34" t="s">
        <v>17</v>
      </c>
      <c r="E241" s="34" t="s">
        <v>254</v>
      </c>
      <c r="F241" s="34" t="s">
        <v>245</v>
      </c>
      <c r="G241" s="39">
        <f>1088.4+204+610.3</f>
        <v>1902.7</v>
      </c>
      <c r="I241" s="39">
        <f>G241+H241</f>
        <v>1902.7</v>
      </c>
      <c r="K241" s="39">
        <f>I241+J241</f>
        <v>1902.7</v>
      </c>
      <c r="L241" s="51">
        <f>-1245.8-68-84.26-640</f>
        <v>-2038.06</v>
      </c>
      <c r="M241" s="39">
        <f>K241+L241</f>
        <v>-135.3599999999999</v>
      </c>
      <c r="N241" s="51">
        <v>792.02</v>
      </c>
      <c r="O241" s="66">
        <f>M241+N241</f>
        <v>656.66000000000008</v>
      </c>
      <c r="Q241" s="66">
        <f>O241+P241</f>
        <v>656.66000000000008</v>
      </c>
    </row>
    <row r="242" spans="1:17" x14ac:dyDescent="0.25">
      <c r="A242" s="17" t="s">
        <v>253</v>
      </c>
      <c r="B242" s="34"/>
      <c r="C242" s="34" t="s">
        <v>56</v>
      </c>
      <c r="D242" s="34" t="s">
        <v>17</v>
      </c>
      <c r="E242" s="34" t="s">
        <v>254</v>
      </c>
      <c r="F242" s="34" t="s">
        <v>255</v>
      </c>
      <c r="G242" s="39">
        <f>G243+G244</f>
        <v>14580.6</v>
      </c>
      <c r="I242" s="39">
        <f>I243+I244</f>
        <v>14580.6</v>
      </c>
      <c r="K242" s="39">
        <f>K243+K244</f>
        <v>14580.6</v>
      </c>
      <c r="L242" s="51"/>
      <c r="M242" s="39">
        <f>M243+M244</f>
        <v>11768.6</v>
      </c>
      <c r="N242" s="51"/>
      <c r="O242" s="66">
        <f>O243+O244</f>
        <v>10676.58</v>
      </c>
      <c r="Q242" s="66">
        <f>Q243+Q244</f>
        <v>10676.58</v>
      </c>
    </row>
    <row r="243" spans="1:17" ht="31.5" customHeight="1" x14ac:dyDescent="0.25">
      <c r="A243" s="17" t="s">
        <v>247</v>
      </c>
      <c r="B243" s="34"/>
      <c r="C243" s="34" t="s">
        <v>56</v>
      </c>
      <c r="D243" s="34" t="s">
        <v>17</v>
      </c>
      <c r="E243" s="34" t="s">
        <v>254</v>
      </c>
      <c r="F243" s="34" t="s">
        <v>248</v>
      </c>
      <c r="G243" s="39">
        <f>3174.9+2261.5</f>
        <v>5436.4</v>
      </c>
      <c r="I243" s="39">
        <f>G243+H243</f>
        <v>5436.4</v>
      </c>
      <c r="K243" s="39">
        <f>I243+J243</f>
        <v>5436.4</v>
      </c>
      <c r="L243" s="51">
        <v>1452.9</v>
      </c>
      <c r="M243" s="39">
        <f>K243+L243</f>
        <v>6889.2999999999993</v>
      </c>
      <c r="N243" s="51"/>
      <c r="O243" s="66">
        <f>M243+N243</f>
        <v>6889.2999999999993</v>
      </c>
      <c r="Q243" s="66">
        <f>O243+P243</f>
        <v>6889.2999999999993</v>
      </c>
    </row>
    <row r="244" spans="1:17" x14ac:dyDescent="0.25">
      <c r="A244" s="17" t="s">
        <v>250</v>
      </c>
      <c r="B244" s="34"/>
      <c r="C244" s="34" t="s">
        <v>56</v>
      </c>
      <c r="D244" s="34" t="s">
        <v>17</v>
      </c>
      <c r="E244" s="34" t="s">
        <v>254</v>
      </c>
      <c r="F244" s="34" t="s">
        <v>249</v>
      </c>
      <c r="G244" s="39">
        <f>1802+535.5+931.4+375.3+5500</f>
        <v>9144.2000000000007</v>
      </c>
      <c r="I244" s="39">
        <f>G244+H244</f>
        <v>9144.2000000000007</v>
      </c>
      <c r="K244" s="39">
        <f>I244+J244</f>
        <v>9144.2000000000007</v>
      </c>
      <c r="L244" s="51">
        <f>-3014.9-1250</f>
        <v>-4264.8999999999996</v>
      </c>
      <c r="M244" s="39">
        <f>K244+L244</f>
        <v>4879.3000000000011</v>
      </c>
      <c r="N244" s="51">
        <f>-792.02-300</f>
        <v>-1092.02</v>
      </c>
      <c r="O244" s="66">
        <f>M244+N244</f>
        <v>3787.2800000000011</v>
      </c>
      <c r="Q244" s="66">
        <f>O244+P244</f>
        <v>3787.2800000000011</v>
      </c>
    </row>
    <row r="245" spans="1:17" x14ac:dyDescent="0.25">
      <c r="A245" s="17" t="s">
        <v>81</v>
      </c>
      <c r="B245" s="34"/>
      <c r="C245" s="34" t="s">
        <v>56</v>
      </c>
      <c r="D245" s="34" t="s">
        <v>17</v>
      </c>
      <c r="E245" s="34" t="s">
        <v>256</v>
      </c>
      <c r="F245" s="34"/>
      <c r="G245" s="39">
        <f>G246</f>
        <v>24807</v>
      </c>
      <c r="I245" s="39">
        <f>I246</f>
        <v>24807</v>
      </c>
      <c r="K245" s="39">
        <f>K246</f>
        <v>24807</v>
      </c>
      <c r="L245" s="51"/>
      <c r="M245" s="39">
        <f>M246</f>
        <v>24941.3</v>
      </c>
      <c r="N245" s="51"/>
      <c r="O245" s="66">
        <f>O246</f>
        <v>24941.3</v>
      </c>
      <c r="Q245" s="66">
        <f>Q246</f>
        <v>24941.3</v>
      </c>
    </row>
    <row r="246" spans="1:17" x14ac:dyDescent="0.25">
      <c r="A246" s="17" t="s">
        <v>252</v>
      </c>
      <c r="B246" s="34"/>
      <c r="C246" s="34" t="s">
        <v>56</v>
      </c>
      <c r="D246" s="34" t="s">
        <v>17</v>
      </c>
      <c r="E246" s="34" t="s">
        <v>256</v>
      </c>
      <c r="F246" s="34" t="s">
        <v>251</v>
      </c>
      <c r="G246" s="39">
        <f>G247+G248</f>
        <v>24807</v>
      </c>
      <c r="I246" s="39">
        <f>I247+I248</f>
        <v>24807</v>
      </c>
      <c r="K246" s="39">
        <f>K247+K248</f>
        <v>24807</v>
      </c>
      <c r="L246" s="51"/>
      <c r="M246" s="39">
        <f>M247+M248</f>
        <v>24941.3</v>
      </c>
      <c r="N246" s="51"/>
      <c r="O246" s="66">
        <f>O247+O248</f>
        <v>24941.3</v>
      </c>
      <c r="Q246" s="66">
        <f>Q247+Q248</f>
        <v>24941.3</v>
      </c>
    </row>
    <row r="247" spans="1:17" ht="30.75" customHeight="1" x14ac:dyDescent="0.25">
      <c r="A247" s="17" t="s">
        <v>243</v>
      </c>
      <c r="B247" s="34"/>
      <c r="C247" s="34" t="s">
        <v>56</v>
      </c>
      <c r="D247" s="34" t="s">
        <v>17</v>
      </c>
      <c r="E247" s="34" t="s">
        <v>256</v>
      </c>
      <c r="F247" s="34" t="s">
        <v>244</v>
      </c>
      <c r="G247" s="39">
        <f>11511+5956.8+7339.2-265</f>
        <v>24542</v>
      </c>
      <c r="I247" s="39">
        <f>G247+H247</f>
        <v>24542</v>
      </c>
      <c r="K247" s="39">
        <f>I247+J247</f>
        <v>24542</v>
      </c>
      <c r="L247" s="51">
        <v>134.30000000000001</v>
      </c>
      <c r="M247" s="39">
        <f>K247+L247</f>
        <v>24676.3</v>
      </c>
      <c r="N247" s="51"/>
      <c r="O247" s="66">
        <f>M247+N247</f>
        <v>24676.3</v>
      </c>
      <c r="Q247" s="66">
        <f>O247+P247</f>
        <v>24676.3</v>
      </c>
    </row>
    <row r="248" spans="1:17" x14ac:dyDescent="0.25">
      <c r="A248" s="17" t="s">
        <v>246</v>
      </c>
      <c r="B248" s="34"/>
      <c r="C248" s="34" t="s">
        <v>56</v>
      </c>
      <c r="D248" s="34" t="s">
        <v>17</v>
      </c>
      <c r="E248" s="34" t="s">
        <v>256</v>
      </c>
      <c r="F248" s="34" t="s">
        <v>245</v>
      </c>
      <c r="G248" s="39">
        <v>265</v>
      </c>
      <c r="I248" s="39">
        <f>G248+H248</f>
        <v>265</v>
      </c>
      <c r="K248" s="39">
        <f>I248+J248</f>
        <v>265</v>
      </c>
      <c r="L248" s="51"/>
      <c r="M248" s="39">
        <f>K248+L248</f>
        <v>265</v>
      </c>
      <c r="N248" s="51"/>
      <c r="O248" s="66">
        <f>M248+N248</f>
        <v>265</v>
      </c>
      <c r="Q248" s="66">
        <f>O248+P248</f>
        <v>265</v>
      </c>
    </row>
    <row r="249" spans="1:17" ht="31.5" x14ac:dyDescent="0.25">
      <c r="A249" s="17" t="s">
        <v>497</v>
      </c>
      <c r="B249" s="34"/>
      <c r="C249" s="34" t="s">
        <v>56</v>
      </c>
      <c r="D249" s="34" t="s">
        <v>17</v>
      </c>
      <c r="E249" s="34" t="s">
        <v>496</v>
      </c>
      <c r="F249" s="34"/>
      <c r="G249" s="39"/>
      <c r="I249" s="39"/>
      <c r="K249" s="39"/>
      <c r="L249" s="51"/>
      <c r="M249" s="39">
        <f>M250+M251</f>
        <v>2288</v>
      </c>
      <c r="N249" s="51"/>
      <c r="O249" s="66">
        <f>O250+O251</f>
        <v>2288</v>
      </c>
      <c r="Q249" s="66">
        <f>Q250+Q251</f>
        <v>2288</v>
      </c>
    </row>
    <row r="250" spans="1:17" x14ac:dyDescent="0.25">
      <c r="A250" s="17" t="s">
        <v>246</v>
      </c>
      <c r="B250" s="34"/>
      <c r="C250" s="34" t="s">
        <v>56</v>
      </c>
      <c r="D250" s="34" t="s">
        <v>17</v>
      </c>
      <c r="E250" s="34" t="s">
        <v>496</v>
      </c>
      <c r="F250" s="34" t="s">
        <v>245</v>
      </c>
      <c r="G250" s="39"/>
      <c r="I250" s="39"/>
      <c r="K250" s="39"/>
      <c r="L250" s="51">
        <v>199.9</v>
      </c>
      <c r="M250" s="39">
        <f>K250+L250</f>
        <v>199.9</v>
      </c>
      <c r="N250" s="51"/>
      <c r="O250" s="66">
        <f>M250+N250</f>
        <v>199.9</v>
      </c>
      <c r="Q250" s="66">
        <f>O250+P250</f>
        <v>199.9</v>
      </c>
    </row>
    <row r="251" spans="1:17" x14ac:dyDescent="0.25">
      <c r="A251" s="17" t="s">
        <v>250</v>
      </c>
      <c r="B251" s="34"/>
      <c r="C251" s="34" t="s">
        <v>56</v>
      </c>
      <c r="D251" s="34" t="s">
        <v>17</v>
      </c>
      <c r="E251" s="34" t="s">
        <v>496</v>
      </c>
      <c r="F251" s="34" t="s">
        <v>249</v>
      </c>
      <c r="G251" s="39"/>
      <c r="I251" s="39"/>
      <c r="K251" s="39"/>
      <c r="L251" s="51">
        <v>2088.1</v>
      </c>
      <c r="M251" s="39">
        <f>K251+L251</f>
        <v>2088.1</v>
      </c>
      <c r="N251" s="51"/>
      <c r="O251" s="66">
        <f>M251+N251</f>
        <v>2088.1</v>
      </c>
      <c r="Q251" s="66">
        <f>O251+P251</f>
        <v>2088.1</v>
      </c>
    </row>
    <row r="252" spans="1:17" ht="31.5" x14ac:dyDescent="0.25">
      <c r="A252" s="17" t="s">
        <v>121</v>
      </c>
      <c r="B252" s="34"/>
      <c r="C252" s="34" t="s">
        <v>56</v>
      </c>
      <c r="D252" s="34" t="s">
        <v>17</v>
      </c>
      <c r="E252" s="34" t="s">
        <v>582</v>
      </c>
      <c r="F252" s="34"/>
      <c r="G252" s="39"/>
      <c r="I252" s="39"/>
      <c r="K252" s="39"/>
      <c r="L252" s="51"/>
      <c r="M252" s="39"/>
      <c r="N252" s="51"/>
      <c r="O252" s="66">
        <f>O253+O254</f>
        <v>819</v>
      </c>
      <c r="Q252" s="66">
        <f>Q253+Q254</f>
        <v>819</v>
      </c>
    </row>
    <row r="253" spans="1:17" x14ac:dyDescent="0.25">
      <c r="A253" s="17" t="s">
        <v>246</v>
      </c>
      <c r="B253" s="34"/>
      <c r="C253" s="34" t="s">
        <v>56</v>
      </c>
      <c r="D253" s="34" t="s">
        <v>17</v>
      </c>
      <c r="E253" s="34" t="s">
        <v>582</v>
      </c>
      <c r="F253" s="34" t="s">
        <v>245</v>
      </c>
      <c r="G253" s="39"/>
      <c r="I253" s="39"/>
      <c r="K253" s="39"/>
      <c r="L253" s="51"/>
      <c r="M253" s="39"/>
      <c r="N253" s="51">
        <v>112.6</v>
      </c>
      <c r="O253" s="66">
        <f>M253+N253</f>
        <v>112.6</v>
      </c>
      <c r="Q253" s="66">
        <f>O253+P253</f>
        <v>112.6</v>
      </c>
    </row>
    <row r="254" spans="1:17" x14ac:dyDescent="0.25">
      <c r="A254" s="17" t="s">
        <v>250</v>
      </c>
      <c r="B254" s="34"/>
      <c r="C254" s="34" t="s">
        <v>56</v>
      </c>
      <c r="D254" s="34" t="s">
        <v>17</v>
      </c>
      <c r="E254" s="34" t="s">
        <v>582</v>
      </c>
      <c r="F254" s="34" t="s">
        <v>249</v>
      </c>
      <c r="G254" s="39"/>
      <c r="I254" s="39"/>
      <c r="K254" s="39"/>
      <c r="L254" s="51"/>
      <c r="M254" s="39"/>
      <c r="N254" s="51">
        <v>706.4</v>
      </c>
      <c r="O254" s="66">
        <f>M254+N254</f>
        <v>706.4</v>
      </c>
      <c r="Q254" s="66">
        <f>O254+P254</f>
        <v>706.4</v>
      </c>
    </row>
    <row r="255" spans="1:17" ht="45.75" customHeight="1" x14ac:dyDescent="0.25">
      <c r="A255" s="17" t="s">
        <v>388</v>
      </c>
      <c r="B255" s="34"/>
      <c r="C255" s="34" t="s">
        <v>56</v>
      </c>
      <c r="D255" s="34" t="s">
        <v>17</v>
      </c>
      <c r="E255" s="34" t="s">
        <v>387</v>
      </c>
      <c r="F255" s="34"/>
      <c r="G255" s="39">
        <f>G256+G259</f>
        <v>48007.4</v>
      </c>
      <c r="I255" s="39">
        <f>I256+I259</f>
        <v>48007.4</v>
      </c>
      <c r="K255" s="39">
        <f>K256+K259</f>
        <v>48007.4</v>
      </c>
      <c r="L255" s="51"/>
      <c r="M255" s="39">
        <f>M256+M259</f>
        <v>48007.4</v>
      </c>
      <c r="N255" s="51"/>
      <c r="O255" s="66">
        <f>O256+O259</f>
        <v>46904.000000000007</v>
      </c>
      <c r="Q255" s="66">
        <f>Q256+Q259</f>
        <v>46904.000000000007</v>
      </c>
    </row>
    <row r="256" spans="1:17" x14ac:dyDescent="0.25">
      <c r="A256" s="17" t="s">
        <v>252</v>
      </c>
      <c r="B256" s="34"/>
      <c r="C256" s="34" t="s">
        <v>56</v>
      </c>
      <c r="D256" s="34" t="s">
        <v>17</v>
      </c>
      <c r="E256" s="34" t="s">
        <v>387</v>
      </c>
      <c r="F256" s="34" t="s">
        <v>251</v>
      </c>
      <c r="G256" s="39">
        <f>G257+G258</f>
        <v>4201</v>
      </c>
      <c r="I256" s="39">
        <f>I257+I258</f>
        <v>4201</v>
      </c>
      <c r="K256" s="39">
        <f>K257+K258</f>
        <v>4201</v>
      </c>
      <c r="L256" s="51"/>
      <c r="M256" s="39">
        <f>M257+M258</f>
        <v>4201</v>
      </c>
      <c r="N256" s="51"/>
      <c r="O256" s="66">
        <f>O257+O258</f>
        <v>4108.3</v>
      </c>
      <c r="Q256" s="66">
        <f>Q257+Q258</f>
        <v>4108.3</v>
      </c>
    </row>
    <row r="257" spans="1:17" ht="30.75" customHeight="1" x14ac:dyDescent="0.25">
      <c r="A257" s="17" t="s">
        <v>243</v>
      </c>
      <c r="B257" s="34"/>
      <c r="C257" s="34" t="s">
        <v>56</v>
      </c>
      <c r="D257" s="34" t="s">
        <v>17</v>
      </c>
      <c r="E257" s="34" t="s">
        <v>387</v>
      </c>
      <c r="F257" s="34" t="s">
        <v>244</v>
      </c>
      <c r="G257" s="39">
        <f>4201</f>
        <v>4201</v>
      </c>
      <c r="I257" s="39">
        <f>G257+H257</f>
        <v>4201</v>
      </c>
      <c r="K257" s="39">
        <f>I257+J257</f>
        <v>4201</v>
      </c>
      <c r="L257" s="51"/>
      <c r="M257" s="39">
        <f>K257+L257</f>
        <v>4201</v>
      </c>
      <c r="N257" s="51">
        <v>-92.7</v>
      </c>
      <c r="O257" s="66">
        <f>M257+N257</f>
        <v>4108.3</v>
      </c>
      <c r="Q257" s="66">
        <f>O257+P257</f>
        <v>4108.3</v>
      </c>
    </row>
    <row r="258" spans="1:17" hidden="1" x14ac:dyDescent="0.25">
      <c r="A258" s="17" t="s">
        <v>246</v>
      </c>
      <c r="B258" s="34"/>
      <c r="C258" s="34" t="s">
        <v>56</v>
      </c>
      <c r="D258" s="34" t="s">
        <v>17</v>
      </c>
      <c r="E258" s="34" t="s">
        <v>387</v>
      </c>
      <c r="F258" s="34" t="s">
        <v>245</v>
      </c>
      <c r="G258" s="39"/>
      <c r="I258" s="39"/>
      <c r="K258" s="39"/>
      <c r="L258" s="51"/>
      <c r="M258" s="39"/>
      <c r="N258" s="51"/>
      <c r="O258" s="66"/>
      <c r="Q258" s="66"/>
    </row>
    <row r="259" spans="1:17" x14ac:dyDescent="0.25">
      <c r="A259" s="17" t="s">
        <v>253</v>
      </c>
      <c r="B259" s="34"/>
      <c r="C259" s="34" t="s">
        <v>56</v>
      </c>
      <c r="D259" s="34" t="s">
        <v>17</v>
      </c>
      <c r="E259" s="34" t="s">
        <v>387</v>
      </c>
      <c r="F259" s="34" t="s">
        <v>255</v>
      </c>
      <c r="G259" s="39">
        <f>G260+G261</f>
        <v>43806.400000000001</v>
      </c>
      <c r="I259" s="39">
        <f>I260+I261</f>
        <v>43806.400000000001</v>
      </c>
      <c r="K259" s="39">
        <f>K260+K261</f>
        <v>43806.400000000001</v>
      </c>
      <c r="L259" s="51"/>
      <c r="M259" s="39">
        <f>M260+M261</f>
        <v>43806.400000000001</v>
      </c>
      <c r="N259" s="51"/>
      <c r="O259" s="66">
        <f>O260+O261</f>
        <v>42795.700000000004</v>
      </c>
      <c r="Q259" s="66">
        <f>Q260+Q261</f>
        <v>42795.700000000004</v>
      </c>
    </row>
    <row r="260" spans="1:17" ht="32.25" customHeight="1" x14ac:dyDescent="0.25">
      <c r="A260" s="17" t="s">
        <v>247</v>
      </c>
      <c r="B260" s="34"/>
      <c r="C260" s="34" t="s">
        <v>56</v>
      </c>
      <c r="D260" s="34" t="s">
        <v>17</v>
      </c>
      <c r="E260" s="34" t="s">
        <v>387</v>
      </c>
      <c r="F260" s="34" t="s">
        <v>248</v>
      </c>
      <c r="G260" s="39">
        <f>12741+31065.4</f>
        <v>43806.400000000001</v>
      </c>
      <c r="I260" s="39">
        <f>G260+H260</f>
        <v>43806.400000000001</v>
      </c>
      <c r="K260" s="39">
        <f>I260+J260</f>
        <v>43806.400000000001</v>
      </c>
      <c r="L260" s="51"/>
      <c r="M260" s="39">
        <f>K260+L260</f>
        <v>43806.400000000001</v>
      </c>
      <c r="N260" s="51">
        <v>-1010.7</v>
      </c>
      <c r="O260" s="66">
        <f>M260+N260</f>
        <v>42795.700000000004</v>
      </c>
      <c r="Q260" s="66">
        <f>O260+P260</f>
        <v>42795.700000000004</v>
      </c>
    </row>
    <row r="261" spans="1:17" hidden="1" x14ac:dyDescent="0.25">
      <c r="A261" s="17" t="s">
        <v>250</v>
      </c>
      <c r="B261" s="34"/>
      <c r="C261" s="34" t="s">
        <v>56</v>
      </c>
      <c r="D261" s="34" t="s">
        <v>17</v>
      </c>
      <c r="E261" s="34" t="s">
        <v>387</v>
      </c>
      <c r="F261" s="34" t="s">
        <v>249</v>
      </c>
      <c r="G261" s="39"/>
      <c r="I261" s="39"/>
      <c r="K261" s="39"/>
      <c r="L261" s="51"/>
      <c r="M261" s="39"/>
      <c r="N261" s="51"/>
      <c r="O261" s="66"/>
      <c r="Q261" s="66"/>
    </row>
    <row r="262" spans="1:17" x14ac:dyDescent="0.25">
      <c r="A262" s="17" t="s">
        <v>499</v>
      </c>
      <c r="B262" s="34"/>
      <c r="C262" s="34" t="s">
        <v>56</v>
      </c>
      <c r="D262" s="34" t="s">
        <v>17</v>
      </c>
      <c r="E262" s="34" t="s">
        <v>498</v>
      </c>
      <c r="F262" s="34"/>
      <c r="G262" s="39"/>
      <c r="I262" s="39"/>
      <c r="K262" s="39"/>
      <c r="L262" s="51"/>
      <c r="M262" s="39">
        <f>M263</f>
        <v>640</v>
      </c>
      <c r="N262" s="51"/>
      <c r="O262" s="66">
        <f>O263</f>
        <v>640</v>
      </c>
      <c r="Q262" s="66">
        <f>Q263</f>
        <v>640</v>
      </c>
    </row>
    <row r="263" spans="1:17" x14ac:dyDescent="0.25">
      <c r="A263" s="17" t="s">
        <v>250</v>
      </c>
      <c r="B263" s="34"/>
      <c r="C263" s="34" t="s">
        <v>56</v>
      </c>
      <c r="D263" s="34" t="s">
        <v>17</v>
      </c>
      <c r="E263" s="34" t="s">
        <v>498</v>
      </c>
      <c r="F263" s="34" t="s">
        <v>249</v>
      </c>
      <c r="G263" s="39"/>
      <c r="I263" s="39"/>
      <c r="K263" s="39"/>
      <c r="L263" s="51">
        <v>640</v>
      </c>
      <c r="M263" s="39">
        <f>K263+L263</f>
        <v>640</v>
      </c>
      <c r="N263" s="51"/>
      <c r="O263" s="66">
        <f>M263+N263</f>
        <v>640</v>
      </c>
      <c r="Q263" s="66">
        <f>O263+P263</f>
        <v>640</v>
      </c>
    </row>
    <row r="264" spans="1:17" x14ac:dyDescent="0.25">
      <c r="A264" s="17" t="s">
        <v>398</v>
      </c>
      <c r="B264" s="34"/>
      <c r="C264" s="34" t="s">
        <v>56</v>
      </c>
      <c r="D264" s="34" t="s">
        <v>17</v>
      </c>
      <c r="E264" s="34" t="s">
        <v>399</v>
      </c>
      <c r="F264" s="34" t="s">
        <v>255</v>
      </c>
      <c r="G264" s="39">
        <f>G265+G266</f>
        <v>7524</v>
      </c>
      <c r="I264" s="39">
        <f>I265+I266</f>
        <v>7524</v>
      </c>
      <c r="K264" s="39">
        <f>K265+K266</f>
        <v>7524</v>
      </c>
      <c r="L264" s="51"/>
      <c r="M264" s="39">
        <f>M265+M266</f>
        <v>7524</v>
      </c>
      <c r="N264" s="51"/>
      <c r="O264" s="66">
        <f>O265+O266</f>
        <v>5737.7</v>
      </c>
      <c r="Q264" s="66">
        <f>Q265+Q266</f>
        <v>5737.7</v>
      </c>
    </row>
    <row r="265" spans="1:17" ht="30.75" customHeight="1" x14ac:dyDescent="0.25">
      <c r="A265" s="17" t="s">
        <v>247</v>
      </c>
      <c r="B265" s="34"/>
      <c r="C265" s="34" t="s">
        <v>56</v>
      </c>
      <c r="D265" s="34" t="s">
        <v>17</v>
      </c>
      <c r="E265" s="34" t="s">
        <v>399</v>
      </c>
      <c r="F265" s="34" t="s">
        <v>248</v>
      </c>
      <c r="G265" s="39">
        <v>2500</v>
      </c>
      <c r="I265" s="39">
        <f>G265+H265</f>
        <v>2500</v>
      </c>
      <c r="K265" s="39">
        <f>I265+J265</f>
        <v>2500</v>
      </c>
      <c r="L265" s="51"/>
      <c r="M265" s="39">
        <f>K265+L265</f>
        <v>2500</v>
      </c>
      <c r="N265" s="51"/>
      <c r="O265" s="66">
        <f>M265+N265</f>
        <v>2500</v>
      </c>
      <c r="Q265" s="66">
        <f>O265+P265</f>
        <v>2500</v>
      </c>
    </row>
    <row r="266" spans="1:17" ht="18" customHeight="1" x14ac:dyDescent="0.25">
      <c r="A266" s="17" t="s">
        <v>250</v>
      </c>
      <c r="B266" s="34"/>
      <c r="C266" s="34" t="s">
        <v>56</v>
      </c>
      <c r="D266" s="34" t="s">
        <v>17</v>
      </c>
      <c r="E266" s="34" t="s">
        <v>399</v>
      </c>
      <c r="F266" s="34" t="s">
        <v>249</v>
      </c>
      <c r="G266" s="39">
        <f>6524-1000-500</f>
        <v>5024</v>
      </c>
      <c r="I266" s="39">
        <f>G266+H266</f>
        <v>5024</v>
      </c>
      <c r="K266" s="39">
        <f>I266+J266</f>
        <v>5024</v>
      </c>
      <c r="L266" s="51">
        <f>-1250+1250</f>
        <v>0</v>
      </c>
      <c r="M266" s="39">
        <f>K266+L266</f>
        <v>5024</v>
      </c>
      <c r="N266" s="51">
        <f>-1786.3</f>
        <v>-1786.3</v>
      </c>
      <c r="O266" s="66">
        <f>M266+N266</f>
        <v>3237.7</v>
      </c>
      <c r="Q266" s="66">
        <f>O266+P266</f>
        <v>3237.7</v>
      </c>
    </row>
    <row r="267" spans="1:17" ht="30.75" customHeight="1" x14ac:dyDescent="0.25">
      <c r="A267" s="12" t="s">
        <v>626</v>
      </c>
      <c r="B267" s="34"/>
      <c r="C267" s="34" t="s">
        <v>56</v>
      </c>
      <c r="D267" s="34" t="s">
        <v>17</v>
      </c>
      <c r="E267" s="34" t="s">
        <v>287</v>
      </c>
      <c r="F267" s="34"/>
      <c r="G267" s="39"/>
      <c r="I267" s="39"/>
      <c r="K267" s="39"/>
      <c r="L267" s="51"/>
      <c r="M267" s="39"/>
      <c r="N267" s="51"/>
      <c r="O267" s="66">
        <f>O268+O269</f>
        <v>1129.4499999999998</v>
      </c>
      <c r="Q267" s="66">
        <f>Q268+Q269</f>
        <v>1129.4499999999998</v>
      </c>
    </row>
    <row r="268" spans="1:17" ht="18" customHeight="1" x14ac:dyDescent="0.25">
      <c r="A268" s="17" t="s">
        <v>246</v>
      </c>
      <c r="B268" s="34"/>
      <c r="C268" s="34" t="s">
        <v>56</v>
      </c>
      <c r="D268" s="34" t="s">
        <v>17</v>
      </c>
      <c r="E268" s="34" t="s">
        <v>287</v>
      </c>
      <c r="F268" s="34" t="s">
        <v>245</v>
      </c>
      <c r="G268" s="39"/>
      <c r="I268" s="39"/>
      <c r="K268" s="39"/>
      <c r="L268" s="51"/>
      <c r="M268" s="39"/>
      <c r="N268" s="51">
        <v>662.81</v>
      </c>
      <c r="O268" s="66">
        <f>M268+N268</f>
        <v>662.81</v>
      </c>
      <c r="Q268" s="66">
        <f>O268+P268</f>
        <v>662.81</v>
      </c>
    </row>
    <row r="269" spans="1:17" ht="18" customHeight="1" x14ac:dyDescent="0.25">
      <c r="A269" s="17" t="s">
        <v>250</v>
      </c>
      <c r="B269" s="34"/>
      <c r="C269" s="34" t="s">
        <v>56</v>
      </c>
      <c r="D269" s="34" t="s">
        <v>17</v>
      </c>
      <c r="E269" s="34" t="s">
        <v>287</v>
      </c>
      <c r="F269" s="34" t="s">
        <v>249</v>
      </c>
      <c r="G269" s="39"/>
      <c r="I269" s="39"/>
      <c r="K269" s="39"/>
      <c r="L269" s="51"/>
      <c r="M269" s="39"/>
      <c r="N269" s="51">
        <v>466.64</v>
      </c>
      <c r="O269" s="66">
        <f>M269+N269</f>
        <v>466.64</v>
      </c>
      <c r="Q269" s="66">
        <f>O269+P269</f>
        <v>466.64</v>
      </c>
    </row>
    <row r="270" spans="1:17" ht="14.25" customHeight="1" x14ac:dyDescent="0.25">
      <c r="A270" s="36" t="s">
        <v>76</v>
      </c>
      <c r="B270" s="31"/>
      <c r="C270" s="31" t="s">
        <v>56</v>
      </c>
      <c r="D270" s="31" t="s">
        <v>46</v>
      </c>
      <c r="E270" s="31"/>
      <c r="F270" s="31"/>
      <c r="G270" s="40">
        <f>G271</f>
        <v>45</v>
      </c>
      <c r="I270" s="40">
        <f>I271</f>
        <v>45</v>
      </c>
      <c r="K270" s="40">
        <f>K271</f>
        <v>45</v>
      </c>
      <c r="L270" s="51"/>
      <c r="M270" s="40">
        <f>M271</f>
        <v>45</v>
      </c>
      <c r="N270" s="51"/>
      <c r="O270" s="65">
        <f>O271</f>
        <v>45</v>
      </c>
      <c r="Q270" s="65">
        <f>Q271</f>
        <v>45</v>
      </c>
    </row>
    <row r="271" spans="1:17" ht="17.25" customHeight="1" x14ac:dyDescent="0.25">
      <c r="A271" s="17" t="s">
        <v>77</v>
      </c>
      <c r="B271" s="34"/>
      <c r="C271" s="34" t="s">
        <v>56</v>
      </c>
      <c r="D271" s="34" t="s">
        <v>46</v>
      </c>
      <c r="E271" s="34" t="s">
        <v>257</v>
      </c>
      <c r="F271" s="34"/>
      <c r="G271" s="39">
        <f>G273+G272</f>
        <v>45</v>
      </c>
      <c r="I271" s="39">
        <f>I273+I272</f>
        <v>45</v>
      </c>
      <c r="K271" s="39">
        <f>K273+K272</f>
        <v>45</v>
      </c>
      <c r="L271" s="51"/>
      <c r="M271" s="39">
        <f>M273+M272</f>
        <v>45</v>
      </c>
      <c r="N271" s="51"/>
      <c r="O271" s="66">
        <f>O273+O272</f>
        <v>45</v>
      </c>
      <c r="Q271" s="66">
        <f>Q273+Q272</f>
        <v>45</v>
      </c>
    </row>
    <row r="272" spans="1:17" ht="17.25" customHeight="1" x14ac:dyDescent="0.25">
      <c r="A272" s="17" t="s">
        <v>246</v>
      </c>
      <c r="B272" s="34"/>
      <c r="C272" s="34" t="s">
        <v>56</v>
      </c>
      <c r="D272" s="34" t="s">
        <v>46</v>
      </c>
      <c r="E272" s="34" t="s">
        <v>257</v>
      </c>
      <c r="F272" s="34" t="s">
        <v>245</v>
      </c>
      <c r="G272" s="39">
        <v>45</v>
      </c>
      <c r="I272" s="39">
        <f>G272+H272</f>
        <v>45</v>
      </c>
      <c r="K272" s="39">
        <f>I272+J272</f>
        <v>45</v>
      </c>
      <c r="L272" s="51"/>
      <c r="M272" s="39">
        <f>K272+L272</f>
        <v>45</v>
      </c>
      <c r="N272" s="51"/>
      <c r="O272" s="66">
        <f>M272+N272</f>
        <v>45</v>
      </c>
      <c r="Q272" s="66">
        <f>O272+P272</f>
        <v>45</v>
      </c>
    </row>
    <row r="273" spans="1:17" x14ac:dyDescent="0.25">
      <c r="A273" s="17" t="s">
        <v>250</v>
      </c>
      <c r="B273" s="34"/>
      <c r="C273" s="34" t="s">
        <v>56</v>
      </c>
      <c r="D273" s="34" t="s">
        <v>46</v>
      </c>
      <c r="E273" s="34" t="s">
        <v>257</v>
      </c>
      <c r="F273" s="34" t="s">
        <v>249</v>
      </c>
      <c r="G273" s="39"/>
      <c r="I273" s="39">
        <f>G273+H273</f>
        <v>0</v>
      </c>
      <c r="K273" s="39">
        <f>I273+J273</f>
        <v>0</v>
      </c>
      <c r="L273" s="51"/>
      <c r="M273" s="39">
        <f>K273+L273</f>
        <v>0</v>
      </c>
      <c r="N273" s="51"/>
      <c r="O273" s="66">
        <f>M273+N273</f>
        <v>0</v>
      </c>
      <c r="Q273" s="66">
        <f>O273+P273</f>
        <v>0</v>
      </c>
    </row>
    <row r="274" spans="1:17" x14ac:dyDescent="0.25">
      <c r="A274" s="36" t="s">
        <v>259</v>
      </c>
      <c r="B274" s="31"/>
      <c r="C274" s="31" t="s">
        <v>56</v>
      </c>
      <c r="D274" s="31" t="s">
        <v>56</v>
      </c>
      <c r="E274" s="31"/>
      <c r="F274" s="31"/>
      <c r="G274" s="40">
        <f>G275</f>
        <v>1000</v>
      </c>
      <c r="I274" s="40">
        <f>I275</f>
        <v>1000</v>
      </c>
      <c r="K274" s="40">
        <f>K275</f>
        <v>1000</v>
      </c>
      <c r="L274" s="51"/>
      <c r="M274" s="40">
        <f>M275+M279</f>
        <v>1567</v>
      </c>
      <c r="N274" s="51"/>
      <c r="O274" s="65">
        <f>O275+O279+O277</f>
        <v>1668.11</v>
      </c>
      <c r="Q274" s="65">
        <f>Q275+Q279+Q277</f>
        <v>1668.11</v>
      </c>
    </row>
    <row r="275" spans="1:17" x14ac:dyDescent="0.25">
      <c r="A275" s="17" t="s">
        <v>260</v>
      </c>
      <c r="B275" s="34"/>
      <c r="C275" s="34" t="s">
        <v>56</v>
      </c>
      <c r="D275" s="34" t="s">
        <v>56</v>
      </c>
      <c r="E275" s="34" t="s">
        <v>258</v>
      </c>
      <c r="F275" s="34"/>
      <c r="G275" s="39">
        <f>G276</f>
        <v>1000</v>
      </c>
      <c r="I275" s="39">
        <f>I276</f>
        <v>1000</v>
      </c>
      <c r="K275" s="39">
        <f>K276</f>
        <v>1000</v>
      </c>
      <c r="L275" s="51"/>
      <c r="M275" s="39">
        <f>M276</f>
        <v>1000</v>
      </c>
      <c r="N275" s="51"/>
      <c r="O275" s="66">
        <f>O276</f>
        <v>985</v>
      </c>
      <c r="Q275" s="66">
        <f>Q276</f>
        <v>985</v>
      </c>
    </row>
    <row r="276" spans="1:17" x14ac:dyDescent="0.25">
      <c r="A276" s="37" t="s">
        <v>225</v>
      </c>
      <c r="B276" s="34"/>
      <c r="C276" s="34" t="s">
        <v>56</v>
      </c>
      <c r="D276" s="34" t="s">
        <v>56</v>
      </c>
      <c r="E276" s="34" t="s">
        <v>258</v>
      </c>
      <c r="F276" s="34" t="s">
        <v>276</v>
      </c>
      <c r="G276" s="39">
        <v>1000</v>
      </c>
      <c r="I276" s="39">
        <f>G276+H276</f>
        <v>1000</v>
      </c>
      <c r="K276" s="39">
        <f>I276+J276</f>
        <v>1000</v>
      </c>
      <c r="L276" s="51"/>
      <c r="M276" s="39">
        <f>K276+L276</f>
        <v>1000</v>
      </c>
      <c r="N276" s="51">
        <v>-15</v>
      </c>
      <c r="O276" s="66">
        <f>M276+N276</f>
        <v>985</v>
      </c>
      <c r="Q276" s="66">
        <f>O276+P276</f>
        <v>985</v>
      </c>
    </row>
    <row r="277" spans="1:17" x14ac:dyDescent="0.25">
      <c r="A277" s="37" t="s">
        <v>583</v>
      </c>
      <c r="B277" s="34"/>
      <c r="C277" s="34" t="s">
        <v>56</v>
      </c>
      <c r="D277" s="34" t="s">
        <v>56</v>
      </c>
      <c r="E277" s="34" t="s">
        <v>459</v>
      </c>
      <c r="F277" s="34"/>
      <c r="G277" s="39"/>
      <c r="I277" s="39"/>
      <c r="K277" s="39"/>
      <c r="L277" s="51"/>
      <c r="M277" s="39"/>
      <c r="N277" s="51"/>
      <c r="O277" s="66">
        <f>O278</f>
        <v>92.3</v>
      </c>
      <c r="Q277" s="66">
        <f>Q278</f>
        <v>92.3</v>
      </c>
    </row>
    <row r="278" spans="1:17" x14ac:dyDescent="0.25">
      <c r="A278" s="17" t="s">
        <v>250</v>
      </c>
      <c r="B278" s="34"/>
      <c r="C278" s="34" t="s">
        <v>56</v>
      </c>
      <c r="D278" s="34" t="s">
        <v>56</v>
      </c>
      <c r="E278" s="34" t="s">
        <v>459</v>
      </c>
      <c r="F278" s="34" t="s">
        <v>249</v>
      </c>
      <c r="G278" s="39"/>
      <c r="I278" s="39"/>
      <c r="K278" s="39"/>
      <c r="L278" s="51"/>
      <c r="M278" s="39"/>
      <c r="N278" s="51">
        <v>92.3</v>
      </c>
      <c r="O278" s="66">
        <f>M278+N278</f>
        <v>92.3</v>
      </c>
      <c r="Q278" s="66">
        <f>O278+P278</f>
        <v>92.3</v>
      </c>
    </row>
    <row r="279" spans="1:17" x14ac:dyDescent="0.25">
      <c r="A279" s="37" t="s">
        <v>505</v>
      </c>
      <c r="B279" s="34"/>
      <c r="C279" s="34" t="s">
        <v>56</v>
      </c>
      <c r="D279" s="34" t="s">
        <v>56</v>
      </c>
      <c r="E279" s="34" t="s">
        <v>584</v>
      </c>
      <c r="F279" s="34"/>
      <c r="G279" s="39"/>
      <c r="I279" s="39"/>
      <c r="K279" s="39"/>
      <c r="L279" s="51"/>
      <c r="M279" s="39">
        <f>M280</f>
        <v>567</v>
      </c>
      <c r="N279" s="51"/>
      <c r="O279" s="66">
        <f>O280</f>
        <v>590.80999999999995</v>
      </c>
      <c r="Q279" s="66">
        <f>Q280</f>
        <v>590.80999999999995</v>
      </c>
    </row>
    <row r="280" spans="1:17" x14ac:dyDescent="0.25">
      <c r="A280" s="17" t="s">
        <v>250</v>
      </c>
      <c r="B280" s="34"/>
      <c r="C280" s="34" t="s">
        <v>56</v>
      </c>
      <c r="D280" s="34" t="s">
        <v>56</v>
      </c>
      <c r="E280" s="34" t="s">
        <v>584</v>
      </c>
      <c r="F280" s="34" t="s">
        <v>249</v>
      </c>
      <c r="G280" s="39"/>
      <c r="I280" s="39"/>
      <c r="K280" s="39"/>
      <c r="L280" s="51">
        <v>567</v>
      </c>
      <c r="M280" s="39">
        <f>L280+K280</f>
        <v>567</v>
      </c>
      <c r="N280" s="51">
        <v>23.81</v>
      </c>
      <c r="O280" s="66">
        <f>N280+M280</f>
        <v>590.80999999999995</v>
      </c>
      <c r="Q280" s="66">
        <f>P280+O280</f>
        <v>590.80999999999995</v>
      </c>
    </row>
    <row r="281" spans="1:17" x14ac:dyDescent="0.25">
      <c r="A281" s="20" t="s">
        <v>62</v>
      </c>
      <c r="B281" s="34"/>
      <c r="C281" s="34" t="s">
        <v>56</v>
      </c>
      <c r="D281" s="34" t="s">
        <v>63</v>
      </c>
      <c r="E281" s="34"/>
      <c r="F281" s="34"/>
      <c r="G281" s="39">
        <f>G284</f>
        <v>1982.8</v>
      </c>
      <c r="I281" s="39">
        <f>I284</f>
        <v>1982.8</v>
      </c>
      <c r="K281" s="39">
        <f>K284</f>
        <v>1982.8</v>
      </c>
      <c r="L281" s="51"/>
      <c r="M281" s="39">
        <f>M284</f>
        <v>1982.8</v>
      </c>
      <c r="N281" s="51"/>
      <c r="O281" s="66">
        <f>O284+O282</f>
        <v>2104.8000000000002</v>
      </c>
      <c r="Q281" s="66">
        <f>Q284+Q282</f>
        <v>2104.8000000000002</v>
      </c>
    </row>
    <row r="282" spans="1:17" ht="31.5" x14ac:dyDescent="0.25">
      <c r="A282" s="21" t="s">
        <v>121</v>
      </c>
      <c r="B282" s="34"/>
      <c r="C282" s="34" t="s">
        <v>56</v>
      </c>
      <c r="D282" s="34" t="s">
        <v>63</v>
      </c>
      <c r="E282" s="34" t="s">
        <v>582</v>
      </c>
      <c r="F282" s="34"/>
      <c r="G282" s="39"/>
      <c r="I282" s="39"/>
      <c r="K282" s="39"/>
      <c r="L282" s="51"/>
      <c r="M282" s="39"/>
      <c r="N282" s="51"/>
      <c r="O282" s="66">
        <f>O283</f>
        <v>122</v>
      </c>
      <c r="Q282" s="66">
        <f>Q283</f>
        <v>122</v>
      </c>
    </row>
    <row r="283" spans="1:17" x14ac:dyDescent="0.25">
      <c r="A283" s="21" t="s">
        <v>250</v>
      </c>
      <c r="B283" s="34"/>
      <c r="C283" s="34" t="s">
        <v>56</v>
      </c>
      <c r="D283" s="34" t="s">
        <v>63</v>
      </c>
      <c r="E283" s="34" t="s">
        <v>582</v>
      </c>
      <c r="F283" s="34" t="s">
        <v>249</v>
      </c>
      <c r="G283" s="39"/>
      <c r="I283" s="39"/>
      <c r="K283" s="39"/>
      <c r="L283" s="51"/>
      <c r="M283" s="39"/>
      <c r="N283" s="51">
        <v>122</v>
      </c>
      <c r="O283" s="66">
        <f>M283+N283</f>
        <v>122</v>
      </c>
      <c r="Q283" s="66">
        <f>O283+P283</f>
        <v>122</v>
      </c>
    </row>
    <row r="284" spans="1:17" ht="47.25" customHeight="1" x14ac:dyDescent="0.25">
      <c r="A284" s="17" t="s">
        <v>388</v>
      </c>
      <c r="B284" s="34"/>
      <c r="C284" s="34" t="s">
        <v>56</v>
      </c>
      <c r="D284" s="34" t="s">
        <v>63</v>
      </c>
      <c r="E284" s="34" t="s">
        <v>387</v>
      </c>
      <c r="F284" s="34"/>
      <c r="G284" s="39">
        <f>G285</f>
        <v>1982.8</v>
      </c>
      <c r="I284" s="39">
        <f>I285</f>
        <v>1982.8</v>
      </c>
      <c r="K284" s="39">
        <f>K285</f>
        <v>1982.8</v>
      </c>
      <c r="L284" s="51"/>
      <c r="M284" s="39">
        <f>M285</f>
        <v>1982.8</v>
      </c>
      <c r="N284" s="51"/>
      <c r="O284" s="66">
        <f>O285</f>
        <v>1982.8</v>
      </c>
      <c r="Q284" s="66">
        <f>Q285</f>
        <v>1982.8</v>
      </c>
    </row>
    <row r="285" spans="1:17" ht="33" customHeight="1" x14ac:dyDescent="0.25">
      <c r="A285" s="17" t="s">
        <v>247</v>
      </c>
      <c r="B285" s="34"/>
      <c r="C285" s="34" t="s">
        <v>56</v>
      </c>
      <c r="D285" s="34" t="s">
        <v>63</v>
      </c>
      <c r="E285" s="34" t="s">
        <v>387</v>
      </c>
      <c r="F285" s="34" t="s">
        <v>248</v>
      </c>
      <c r="G285" s="39">
        <f>1982.8</f>
        <v>1982.8</v>
      </c>
      <c r="I285" s="39">
        <f>G285+H285</f>
        <v>1982.8</v>
      </c>
      <c r="K285" s="39">
        <f>I285+J285</f>
        <v>1982.8</v>
      </c>
      <c r="L285" s="51"/>
      <c r="M285" s="39">
        <f>K285+L285</f>
        <v>1982.8</v>
      </c>
      <c r="N285" s="51"/>
      <c r="O285" s="66">
        <f>M285+N285</f>
        <v>1982.8</v>
      </c>
      <c r="Q285" s="66">
        <f>O285+P285</f>
        <v>1982.8</v>
      </c>
    </row>
    <row r="286" spans="1:17" hidden="1" x14ac:dyDescent="0.25">
      <c r="A286" s="36" t="s">
        <v>194</v>
      </c>
      <c r="B286" s="31"/>
      <c r="C286" s="31" t="s">
        <v>63</v>
      </c>
      <c r="D286" s="31"/>
      <c r="E286" s="31"/>
      <c r="F286" s="31"/>
      <c r="G286" s="40">
        <f>G287</f>
        <v>0</v>
      </c>
      <c r="I286" s="40">
        <f>I287</f>
        <v>0</v>
      </c>
      <c r="K286" s="40">
        <f>K287</f>
        <v>0</v>
      </c>
      <c r="L286" s="51"/>
      <c r="M286" s="40">
        <f>M287</f>
        <v>0</v>
      </c>
      <c r="N286" s="51"/>
      <c r="O286" s="65">
        <f>O287</f>
        <v>0</v>
      </c>
      <c r="Q286" s="65">
        <f>Q287</f>
        <v>0</v>
      </c>
    </row>
    <row r="287" spans="1:17" hidden="1" x14ac:dyDescent="0.25">
      <c r="A287" s="17" t="s">
        <v>199</v>
      </c>
      <c r="B287" s="34"/>
      <c r="C287" s="34" t="s">
        <v>63</v>
      </c>
      <c r="D287" s="34" t="s">
        <v>63</v>
      </c>
      <c r="E287" s="34"/>
      <c r="F287" s="34"/>
      <c r="G287" s="39">
        <f>G288+G290</f>
        <v>0</v>
      </c>
      <c r="I287" s="39">
        <f>I288+I290</f>
        <v>0</v>
      </c>
      <c r="K287" s="39">
        <f>K288+K290</f>
        <v>0</v>
      </c>
      <c r="L287" s="51"/>
      <c r="M287" s="39">
        <f>M288+M290</f>
        <v>0</v>
      </c>
      <c r="N287" s="51"/>
      <c r="O287" s="66">
        <f>O288+O290</f>
        <v>0</v>
      </c>
      <c r="Q287" s="66">
        <f>Q288+Q290</f>
        <v>0</v>
      </c>
    </row>
    <row r="288" spans="1:17" ht="28.5" hidden="1" customHeight="1" x14ac:dyDescent="0.25">
      <c r="A288" s="17" t="s">
        <v>311</v>
      </c>
      <c r="B288" s="34"/>
      <c r="C288" s="34" t="s">
        <v>63</v>
      </c>
      <c r="D288" s="34" t="s">
        <v>63</v>
      </c>
      <c r="E288" s="34" t="s">
        <v>280</v>
      </c>
      <c r="F288" s="34"/>
      <c r="G288" s="39">
        <f>G289</f>
        <v>0</v>
      </c>
      <c r="I288" s="39">
        <f>I289</f>
        <v>0</v>
      </c>
      <c r="K288" s="39">
        <f>K289</f>
        <v>0</v>
      </c>
      <c r="L288" s="51"/>
      <c r="M288" s="39">
        <f>M289</f>
        <v>0</v>
      </c>
      <c r="N288" s="51"/>
      <c r="O288" s="66">
        <f>O289</f>
        <v>0</v>
      </c>
      <c r="Q288" s="66">
        <f>Q289</f>
        <v>0</v>
      </c>
    </row>
    <row r="289" spans="1:17" hidden="1" x14ac:dyDescent="0.25">
      <c r="A289" s="17" t="s">
        <v>246</v>
      </c>
      <c r="B289" s="34"/>
      <c r="C289" s="34" t="s">
        <v>63</v>
      </c>
      <c r="D289" s="34" t="s">
        <v>63</v>
      </c>
      <c r="E289" s="34" t="s">
        <v>280</v>
      </c>
      <c r="F289" s="34" t="s">
        <v>245</v>
      </c>
      <c r="G289" s="39"/>
      <c r="I289" s="39">
        <f>G289+H289</f>
        <v>0</v>
      </c>
      <c r="K289" s="39">
        <f>I289+J289</f>
        <v>0</v>
      </c>
      <c r="L289" s="51"/>
      <c r="M289" s="39">
        <f>K289+L289</f>
        <v>0</v>
      </c>
      <c r="N289" s="51"/>
      <c r="O289" s="66">
        <f>M289+N289</f>
        <v>0</v>
      </c>
      <c r="Q289" s="66">
        <f>O289+P289</f>
        <v>0</v>
      </c>
    </row>
    <row r="290" spans="1:17" ht="13.5" hidden="1" customHeight="1" x14ac:dyDescent="0.25">
      <c r="A290" s="17" t="s">
        <v>312</v>
      </c>
      <c r="B290" s="34"/>
      <c r="C290" s="34" t="s">
        <v>63</v>
      </c>
      <c r="D290" s="34" t="s">
        <v>63</v>
      </c>
      <c r="E290" s="34" t="s">
        <v>313</v>
      </c>
      <c r="F290" s="34"/>
      <c r="G290" s="39">
        <f>G291</f>
        <v>0</v>
      </c>
      <c r="I290" s="39">
        <f>I291</f>
        <v>0</v>
      </c>
      <c r="K290" s="39">
        <f>K291</f>
        <v>0</v>
      </c>
      <c r="L290" s="51"/>
      <c r="M290" s="39">
        <f>M291</f>
        <v>0</v>
      </c>
      <c r="N290" s="51"/>
      <c r="O290" s="66">
        <f>O291</f>
        <v>0</v>
      </c>
      <c r="Q290" s="66">
        <f>Q291</f>
        <v>0</v>
      </c>
    </row>
    <row r="291" spans="1:17" hidden="1" x14ac:dyDescent="0.25">
      <c r="A291" s="17" t="s">
        <v>246</v>
      </c>
      <c r="B291" s="34"/>
      <c r="C291" s="34" t="s">
        <v>63</v>
      </c>
      <c r="D291" s="34" t="s">
        <v>63</v>
      </c>
      <c r="E291" s="34" t="s">
        <v>313</v>
      </c>
      <c r="F291" s="34" t="s">
        <v>245</v>
      </c>
      <c r="G291" s="39"/>
      <c r="I291" s="39">
        <f>G291+H291</f>
        <v>0</v>
      </c>
      <c r="K291" s="39">
        <f>I291+J291</f>
        <v>0</v>
      </c>
      <c r="L291" s="51"/>
      <c r="M291" s="39">
        <f>K291+L291</f>
        <v>0</v>
      </c>
      <c r="N291" s="51"/>
      <c r="O291" s="66">
        <f>M291+N291</f>
        <v>0</v>
      </c>
      <c r="Q291" s="66">
        <f>O291+P291</f>
        <v>0</v>
      </c>
    </row>
    <row r="292" spans="1:17" x14ac:dyDescent="0.25">
      <c r="A292" s="30" t="s">
        <v>67</v>
      </c>
      <c r="B292" s="31"/>
      <c r="C292" s="31" t="s">
        <v>68</v>
      </c>
      <c r="D292" s="31"/>
      <c r="E292" s="31"/>
      <c r="F292" s="31"/>
      <c r="G292" s="39">
        <f>G293+G296</f>
        <v>5946.7999999999993</v>
      </c>
      <c r="I292" s="39">
        <f>I293+I296</f>
        <v>5946.7999999999993</v>
      </c>
      <c r="K292" s="39">
        <f>K293+K296</f>
        <v>5946.7999999999993</v>
      </c>
      <c r="L292" s="51"/>
      <c r="M292" s="39">
        <f>M293+M296</f>
        <v>4237.8999999999996</v>
      </c>
      <c r="N292" s="51"/>
      <c r="O292" s="66">
        <f>O293+O296</f>
        <v>4237.8999999999996</v>
      </c>
      <c r="Q292" s="66">
        <f>Q293+Q296</f>
        <v>4237.8999999999996</v>
      </c>
    </row>
    <row r="293" spans="1:17" x14ac:dyDescent="0.25">
      <c r="A293" s="30" t="s">
        <v>90</v>
      </c>
      <c r="B293" s="31"/>
      <c r="C293" s="31" t="s">
        <v>68</v>
      </c>
      <c r="D293" s="31" t="s">
        <v>17</v>
      </c>
      <c r="E293" s="31"/>
      <c r="F293" s="31"/>
      <c r="G293" s="40">
        <f>G294</f>
        <v>4237.8999999999996</v>
      </c>
      <c r="I293" s="40">
        <f>I294</f>
        <v>4237.8999999999996</v>
      </c>
      <c r="K293" s="40">
        <f>K294</f>
        <v>4237.8999999999996</v>
      </c>
      <c r="L293" s="51"/>
      <c r="M293" s="40">
        <f>M294</f>
        <v>4237.8999999999996</v>
      </c>
      <c r="N293" s="51"/>
      <c r="O293" s="65">
        <f>O294</f>
        <v>4237.8999999999996</v>
      </c>
      <c r="Q293" s="65">
        <f>Q294</f>
        <v>4237.8999999999996</v>
      </c>
    </row>
    <row r="294" spans="1:17" ht="29.25" customHeight="1" x14ac:dyDescent="0.25">
      <c r="A294" s="43" t="s">
        <v>382</v>
      </c>
      <c r="B294" s="31"/>
      <c r="C294" s="34" t="s">
        <v>68</v>
      </c>
      <c r="D294" s="34" t="s">
        <v>17</v>
      </c>
      <c r="E294" s="34" t="s">
        <v>329</v>
      </c>
      <c r="F294" s="34"/>
      <c r="G294" s="39">
        <f>G295</f>
        <v>4237.8999999999996</v>
      </c>
      <c r="I294" s="39">
        <f>I295</f>
        <v>4237.8999999999996</v>
      </c>
      <c r="K294" s="39">
        <f>K295</f>
        <v>4237.8999999999996</v>
      </c>
      <c r="L294" s="51"/>
      <c r="M294" s="39">
        <f>M295</f>
        <v>4237.8999999999996</v>
      </c>
      <c r="N294" s="51"/>
      <c r="O294" s="66">
        <f>O295</f>
        <v>4237.8999999999996</v>
      </c>
      <c r="Q294" s="66">
        <f>Q295</f>
        <v>4237.8999999999996</v>
      </c>
    </row>
    <row r="295" spans="1:17" ht="30.75" customHeight="1" x14ac:dyDescent="0.25">
      <c r="A295" s="17" t="s">
        <v>243</v>
      </c>
      <c r="B295" s="31"/>
      <c r="C295" s="34" t="s">
        <v>68</v>
      </c>
      <c r="D295" s="34" t="s">
        <v>17</v>
      </c>
      <c r="E295" s="34" t="s">
        <v>537</v>
      </c>
      <c r="F295" s="34" t="s">
        <v>244</v>
      </c>
      <c r="G295" s="39">
        <v>4237.8999999999996</v>
      </c>
      <c r="I295" s="39">
        <f>G295+H295</f>
        <v>4237.8999999999996</v>
      </c>
      <c r="K295" s="39">
        <f>I295+J295</f>
        <v>4237.8999999999996</v>
      </c>
      <c r="L295" s="51"/>
      <c r="M295" s="39">
        <f>K295+L295</f>
        <v>4237.8999999999996</v>
      </c>
      <c r="N295" s="51"/>
      <c r="O295" s="66">
        <f>M295+N295</f>
        <v>4237.8999999999996</v>
      </c>
      <c r="Q295" s="66">
        <f>O295+P295</f>
        <v>4237.8999999999996</v>
      </c>
    </row>
    <row r="296" spans="1:17" ht="18" customHeight="1" x14ac:dyDescent="0.25">
      <c r="A296" s="30" t="s">
        <v>74</v>
      </c>
      <c r="B296" s="31"/>
      <c r="C296" s="31" t="s">
        <v>68</v>
      </c>
      <c r="D296" s="31" t="s">
        <v>24</v>
      </c>
      <c r="E296" s="31"/>
      <c r="F296" s="31"/>
      <c r="G296" s="40">
        <f>G297</f>
        <v>1708.9</v>
      </c>
      <c r="I296" s="40">
        <f>I297</f>
        <v>1708.9</v>
      </c>
      <c r="K296" s="40">
        <f>K297</f>
        <v>1708.9</v>
      </c>
      <c r="L296" s="51"/>
      <c r="M296" s="40">
        <f>M297</f>
        <v>0</v>
      </c>
      <c r="N296" s="51"/>
      <c r="O296" s="65">
        <f>O297</f>
        <v>0</v>
      </c>
      <c r="Q296" s="65">
        <f>Q297</f>
        <v>0</v>
      </c>
    </row>
    <row r="297" spans="1:17" ht="30.75" customHeight="1" x14ac:dyDescent="0.25">
      <c r="A297" s="43" t="s">
        <v>383</v>
      </c>
      <c r="B297" s="31"/>
      <c r="C297" s="34" t="s">
        <v>68</v>
      </c>
      <c r="D297" s="34" t="s">
        <v>24</v>
      </c>
      <c r="E297" s="34" t="s">
        <v>291</v>
      </c>
      <c r="F297" s="34"/>
      <c r="G297" s="39">
        <f>G298</f>
        <v>1708.9</v>
      </c>
      <c r="I297" s="39">
        <f>I298</f>
        <v>1708.9</v>
      </c>
      <c r="K297" s="39">
        <f>K298</f>
        <v>1708.9</v>
      </c>
      <c r="L297" s="51"/>
      <c r="M297" s="39">
        <f>M298</f>
        <v>0</v>
      </c>
      <c r="N297" s="51"/>
      <c r="O297" s="66">
        <f>O298</f>
        <v>0</v>
      </c>
      <c r="Q297" s="66">
        <f>Q298</f>
        <v>0</v>
      </c>
    </row>
    <row r="298" spans="1:17" ht="15.75" customHeight="1" x14ac:dyDescent="0.25">
      <c r="A298" s="17" t="s">
        <v>250</v>
      </c>
      <c r="B298" s="34"/>
      <c r="C298" s="34" t="s">
        <v>68</v>
      </c>
      <c r="D298" s="34" t="s">
        <v>24</v>
      </c>
      <c r="E298" s="34" t="s">
        <v>291</v>
      </c>
      <c r="F298" s="34" t="s">
        <v>249</v>
      </c>
      <c r="G298" s="39">
        <v>1708.9</v>
      </c>
      <c r="H298" s="53"/>
      <c r="I298" s="39">
        <f>G298+H298</f>
        <v>1708.9</v>
      </c>
      <c r="J298" s="53"/>
      <c r="K298" s="39">
        <f>I298+J298</f>
        <v>1708.9</v>
      </c>
      <c r="L298" s="51">
        <v>-1708.9</v>
      </c>
      <c r="M298" s="39">
        <f>K298+L298</f>
        <v>0</v>
      </c>
      <c r="N298" s="51"/>
      <c r="O298" s="66">
        <f>M298+N298</f>
        <v>0</v>
      </c>
      <c r="Q298" s="66">
        <f>O298+P298</f>
        <v>0</v>
      </c>
    </row>
    <row r="299" spans="1:17" x14ac:dyDescent="0.25">
      <c r="A299" s="30" t="s">
        <v>232</v>
      </c>
      <c r="B299" s="31"/>
      <c r="C299" s="31" t="s">
        <v>107</v>
      </c>
      <c r="D299" s="31"/>
      <c r="E299" s="31"/>
      <c r="F299" s="31"/>
      <c r="G299" s="40">
        <f>G300</f>
        <v>3500</v>
      </c>
      <c r="I299" s="40">
        <f>I300</f>
        <v>3500</v>
      </c>
      <c r="K299" s="40">
        <f>K300</f>
        <v>3500</v>
      </c>
      <c r="L299" s="51"/>
      <c r="M299" s="40">
        <f>M300</f>
        <v>3500</v>
      </c>
      <c r="N299" s="51"/>
      <c r="O299" s="65">
        <f>O300</f>
        <v>3500</v>
      </c>
      <c r="Q299" s="65">
        <f>Q300</f>
        <v>3500</v>
      </c>
    </row>
    <row r="300" spans="1:17" x14ac:dyDescent="0.25">
      <c r="A300" s="30" t="s">
        <v>198</v>
      </c>
      <c r="B300" s="31"/>
      <c r="C300" s="31" t="s">
        <v>107</v>
      </c>
      <c r="D300" s="31" t="s">
        <v>15</v>
      </c>
      <c r="E300" s="31"/>
      <c r="F300" s="31"/>
      <c r="G300" s="40">
        <f>G301</f>
        <v>3500</v>
      </c>
      <c r="I300" s="40">
        <f>I301</f>
        <v>3500</v>
      </c>
      <c r="K300" s="40">
        <f>K301</f>
        <v>3500</v>
      </c>
      <c r="L300" s="51"/>
      <c r="M300" s="40">
        <f>M301</f>
        <v>3500</v>
      </c>
      <c r="N300" s="51"/>
      <c r="O300" s="65">
        <f>O301</f>
        <v>3500</v>
      </c>
      <c r="Q300" s="65">
        <f>Q301</f>
        <v>3500</v>
      </c>
    </row>
    <row r="301" spans="1:17" x14ac:dyDescent="0.25">
      <c r="A301" s="35" t="s">
        <v>52</v>
      </c>
      <c r="B301" s="34"/>
      <c r="C301" s="34" t="s">
        <v>107</v>
      </c>
      <c r="D301" s="34" t="s">
        <v>15</v>
      </c>
      <c r="E301" s="34" t="s">
        <v>263</v>
      </c>
      <c r="F301" s="34"/>
      <c r="G301" s="39">
        <f>G302</f>
        <v>3500</v>
      </c>
      <c r="I301" s="39">
        <f>I302</f>
        <v>3500</v>
      </c>
      <c r="K301" s="39">
        <f>K302</f>
        <v>3500</v>
      </c>
      <c r="L301" s="51"/>
      <c r="M301" s="39">
        <f>M302</f>
        <v>3500</v>
      </c>
      <c r="N301" s="51"/>
      <c r="O301" s="66">
        <f>O302</f>
        <v>3500</v>
      </c>
      <c r="Q301" s="66">
        <f>Q302</f>
        <v>3500</v>
      </c>
    </row>
    <row r="302" spans="1:17" x14ac:dyDescent="0.25">
      <c r="A302" s="37" t="s">
        <v>253</v>
      </c>
      <c r="B302" s="34"/>
      <c r="C302" s="34" t="s">
        <v>107</v>
      </c>
      <c r="D302" s="34" t="s">
        <v>15</v>
      </c>
      <c r="E302" s="34" t="s">
        <v>263</v>
      </c>
      <c r="F302" s="34" t="s">
        <v>255</v>
      </c>
      <c r="G302" s="39">
        <f>G303+G304</f>
        <v>3500</v>
      </c>
      <c r="I302" s="39">
        <f>G302+H302</f>
        <v>3500</v>
      </c>
      <c r="K302" s="39">
        <f>I302+J302</f>
        <v>3500</v>
      </c>
      <c r="L302" s="51"/>
      <c r="M302" s="39">
        <f>K302+L302</f>
        <v>3500</v>
      </c>
      <c r="N302" s="51"/>
      <c r="O302" s="66">
        <f>M302+N302</f>
        <v>3500</v>
      </c>
      <c r="Q302" s="66">
        <f>O302+P302</f>
        <v>3500</v>
      </c>
    </row>
    <row r="303" spans="1:17" ht="30" customHeight="1" x14ac:dyDescent="0.25">
      <c r="A303" s="17" t="s">
        <v>247</v>
      </c>
      <c r="B303" s="34"/>
      <c r="C303" s="34" t="s">
        <v>107</v>
      </c>
      <c r="D303" s="34" t="s">
        <v>15</v>
      </c>
      <c r="E303" s="34" t="s">
        <v>263</v>
      </c>
      <c r="F303" s="34" t="s">
        <v>248</v>
      </c>
      <c r="G303" s="39">
        <v>3500</v>
      </c>
      <c r="I303" s="39">
        <f>G303+H303</f>
        <v>3500</v>
      </c>
      <c r="J303" s="51">
        <v>-401.9</v>
      </c>
      <c r="K303" s="39">
        <f>I303+J303</f>
        <v>3098.1</v>
      </c>
      <c r="L303" s="51"/>
      <c r="M303" s="39">
        <f>K303+L303</f>
        <v>3098.1</v>
      </c>
      <c r="N303" s="51"/>
      <c r="O303" s="66">
        <f>M303+N303</f>
        <v>3098.1</v>
      </c>
      <c r="Q303" s="66">
        <f>O303+P303</f>
        <v>3098.1</v>
      </c>
    </row>
    <row r="304" spans="1:17" x14ac:dyDescent="0.25">
      <c r="A304" s="17" t="s">
        <v>250</v>
      </c>
      <c r="B304" s="34"/>
      <c r="C304" s="34" t="s">
        <v>107</v>
      </c>
      <c r="D304" s="34" t="s">
        <v>15</v>
      </c>
      <c r="E304" s="34" t="s">
        <v>263</v>
      </c>
      <c r="F304" s="34" t="s">
        <v>249</v>
      </c>
      <c r="G304" s="39"/>
      <c r="I304" s="39">
        <f>G304+H304</f>
        <v>0</v>
      </c>
      <c r="J304" s="51">
        <v>401.9</v>
      </c>
      <c r="K304" s="39">
        <f>I304+J304</f>
        <v>401.9</v>
      </c>
      <c r="L304" s="51"/>
      <c r="M304" s="39">
        <f>K304+L304</f>
        <v>401.9</v>
      </c>
      <c r="N304" s="51"/>
      <c r="O304" s="66">
        <f>M304+N304</f>
        <v>401.9</v>
      </c>
      <c r="Q304" s="66">
        <f>O304+P304</f>
        <v>401.9</v>
      </c>
    </row>
    <row r="305" spans="1:17" x14ac:dyDescent="0.25">
      <c r="A305" s="30" t="s">
        <v>192</v>
      </c>
      <c r="B305" s="31"/>
      <c r="C305" s="31" t="s">
        <v>27</v>
      </c>
      <c r="D305" s="31"/>
      <c r="E305" s="31"/>
      <c r="F305" s="31"/>
      <c r="G305" s="40">
        <f>G306</f>
        <v>1460</v>
      </c>
      <c r="I305" s="40">
        <f>I306</f>
        <v>1460</v>
      </c>
      <c r="K305" s="40">
        <f>K306</f>
        <v>1460</v>
      </c>
      <c r="L305" s="51"/>
      <c r="M305" s="40">
        <f>M306</f>
        <v>1460</v>
      </c>
      <c r="N305" s="51"/>
      <c r="O305" s="65">
        <f>O306</f>
        <v>1617.5</v>
      </c>
      <c r="Q305" s="65">
        <f>Q306</f>
        <v>1617.5</v>
      </c>
    </row>
    <row r="306" spans="1:17" x14ac:dyDescent="0.25">
      <c r="A306" s="30" t="s">
        <v>152</v>
      </c>
      <c r="B306" s="31"/>
      <c r="C306" s="31" t="s">
        <v>27</v>
      </c>
      <c r="D306" s="31" t="s">
        <v>17</v>
      </c>
      <c r="E306" s="31"/>
      <c r="F306" s="31"/>
      <c r="G306" s="40">
        <f>G307</f>
        <v>1460</v>
      </c>
      <c r="I306" s="40">
        <f>I307</f>
        <v>1460</v>
      </c>
      <c r="K306" s="40">
        <f>K307</f>
        <v>1460</v>
      </c>
      <c r="L306" s="51"/>
      <c r="M306" s="40">
        <f>M307</f>
        <v>1460</v>
      </c>
      <c r="N306" s="51"/>
      <c r="O306" s="65">
        <f>O307</f>
        <v>1617.5</v>
      </c>
      <c r="Q306" s="65">
        <f>Q307</f>
        <v>1617.5</v>
      </c>
    </row>
    <row r="307" spans="1:17" x14ac:dyDescent="0.25">
      <c r="A307" s="38" t="s">
        <v>264</v>
      </c>
      <c r="B307" s="34"/>
      <c r="C307" s="34" t="s">
        <v>27</v>
      </c>
      <c r="D307" s="34" t="s">
        <v>17</v>
      </c>
      <c r="E307" s="34" t="s">
        <v>389</v>
      </c>
      <c r="F307" s="34"/>
      <c r="G307" s="39">
        <f>G308</f>
        <v>1460</v>
      </c>
      <c r="I307" s="39">
        <f>I308</f>
        <v>1460</v>
      </c>
      <c r="K307" s="39">
        <f>K308</f>
        <v>1460</v>
      </c>
      <c r="L307" s="51"/>
      <c r="M307" s="39">
        <f>M308</f>
        <v>1460</v>
      </c>
      <c r="N307" s="51"/>
      <c r="O307" s="66">
        <f>O308+O309</f>
        <v>1617.5</v>
      </c>
      <c r="Q307" s="66">
        <f>Q308+Q309</f>
        <v>1617.5</v>
      </c>
    </row>
    <row r="308" spans="1:17" ht="29.25" customHeight="1" x14ac:dyDescent="0.25">
      <c r="A308" s="17" t="s">
        <v>273</v>
      </c>
      <c r="B308" s="34"/>
      <c r="C308" s="34" t="s">
        <v>27</v>
      </c>
      <c r="D308" s="34" t="s">
        <v>17</v>
      </c>
      <c r="E308" s="34" t="s">
        <v>389</v>
      </c>
      <c r="F308" s="34" t="s">
        <v>272</v>
      </c>
      <c r="G308" s="39">
        <v>1460</v>
      </c>
      <c r="I308" s="39">
        <f>G308+H308</f>
        <v>1460</v>
      </c>
      <c r="K308" s="39">
        <f>I308+J308</f>
        <v>1460</v>
      </c>
      <c r="L308" s="51"/>
      <c r="M308" s="39">
        <f>K308+L308</f>
        <v>1460</v>
      </c>
      <c r="N308" s="51"/>
      <c r="O308" s="66">
        <f>M308+N308</f>
        <v>1460</v>
      </c>
      <c r="Q308" s="66">
        <f>O308+P308</f>
        <v>1460</v>
      </c>
    </row>
    <row r="309" spans="1:17" ht="30" customHeight="1" x14ac:dyDescent="0.25">
      <c r="A309" s="17" t="s">
        <v>636</v>
      </c>
      <c r="B309" s="34"/>
      <c r="C309" s="34" t="s">
        <v>27</v>
      </c>
      <c r="D309" s="34" t="s">
        <v>17</v>
      </c>
      <c r="E309" s="34" t="s">
        <v>585</v>
      </c>
      <c r="F309" s="34" t="s">
        <v>272</v>
      </c>
      <c r="G309" s="39"/>
      <c r="I309" s="39"/>
      <c r="K309" s="39"/>
      <c r="L309" s="51"/>
      <c r="M309" s="39"/>
      <c r="N309" s="51">
        <v>157.5</v>
      </c>
      <c r="O309" s="66">
        <f>M309+N309</f>
        <v>157.5</v>
      </c>
      <c r="Q309" s="66">
        <f>O309+P309</f>
        <v>157.5</v>
      </c>
    </row>
    <row r="310" spans="1:17" ht="15.75" customHeight="1" x14ac:dyDescent="0.25">
      <c r="A310" s="44" t="s">
        <v>187</v>
      </c>
      <c r="B310" s="31"/>
      <c r="C310" s="31" t="s">
        <v>186</v>
      </c>
      <c r="D310" s="31"/>
      <c r="E310" s="31"/>
      <c r="F310" s="31"/>
      <c r="G310" s="40">
        <f>G311</f>
        <v>819.8</v>
      </c>
      <c r="I310" s="40">
        <f>I311</f>
        <v>819.8</v>
      </c>
      <c r="K310" s="40">
        <f>K311</f>
        <v>819.8</v>
      </c>
      <c r="L310" s="51"/>
      <c r="M310" s="40">
        <f>M311</f>
        <v>819.8</v>
      </c>
      <c r="N310" s="51"/>
      <c r="O310" s="65">
        <f>O311</f>
        <v>819.8</v>
      </c>
      <c r="Q310" s="65">
        <f>Q311</f>
        <v>819.8</v>
      </c>
    </row>
    <row r="311" spans="1:17" ht="14.25" customHeight="1" x14ac:dyDescent="0.25">
      <c r="A311" s="36" t="s">
        <v>188</v>
      </c>
      <c r="B311" s="31"/>
      <c r="C311" s="31" t="s">
        <v>186</v>
      </c>
      <c r="D311" s="31" t="s">
        <v>15</v>
      </c>
      <c r="E311" s="31"/>
      <c r="F311" s="31"/>
      <c r="G311" s="40">
        <f>G312</f>
        <v>819.8</v>
      </c>
      <c r="I311" s="40">
        <f>I312</f>
        <v>819.8</v>
      </c>
      <c r="K311" s="40">
        <f>K312</f>
        <v>819.8</v>
      </c>
      <c r="L311" s="51"/>
      <c r="M311" s="40">
        <f>M312</f>
        <v>819.8</v>
      </c>
      <c r="N311" s="51"/>
      <c r="O311" s="65">
        <f>O312</f>
        <v>819.8</v>
      </c>
      <c r="Q311" s="65">
        <f>Q312</f>
        <v>819.8</v>
      </c>
    </row>
    <row r="312" spans="1:17" x14ac:dyDescent="0.25">
      <c r="A312" s="35" t="s">
        <v>109</v>
      </c>
      <c r="B312" s="34"/>
      <c r="C312" s="34" t="s">
        <v>186</v>
      </c>
      <c r="D312" s="34" t="s">
        <v>15</v>
      </c>
      <c r="E312" s="34" t="s">
        <v>265</v>
      </c>
      <c r="F312" s="34"/>
      <c r="G312" s="39">
        <f>G313</f>
        <v>819.8</v>
      </c>
      <c r="I312" s="39">
        <f>I313</f>
        <v>819.8</v>
      </c>
      <c r="K312" s="39">
        <f>K313</f>
        <v>819.8</v>
      </c>
      <c r="L312" s="51"/>
      <c r="M312" s="39">
        <f>M313</f>
        <v>819.8</v>
      </c>
      <c r="N312" s="51"/>
      <c r="O312" s="66">
        <f>O313</f>
        <v>819.8</v>
      </c>
      <c r="Q312" s="66">
        <f>Q313</f>
        <v>819.8</v>
      </c>
    </row>
    <row r="313" spans="1:17" x14ac:dyDescent="0.25">
      <c r="A313" s="35" t="s">
        <v>266</v>
      </c>
      <c r="B313" s="34"/>
      <c r="C313" s="34" t="s">
        <v>186</v>
      </c>
      <c r="D313" s="34" t="s">
        <v>15</v>
      </c>
      <c r="E313" s="34" t="s">
        <v>265</v>
      </c>
      <c r="F313" s="34" t="s">
        <v>267</v>
      </c>
      <c r="G313" s="39">
        <v>819.8</v>
      </c>
      <c r="I313" s="39">
        <f>G313+H313</f>
        <v>819.8</v>
      </c>
      <c r="K313" s="39">
        <f>I313+J313</f>
        <v>819.8</v>
      </c>
      <c r="L313" s="51"/>
      <c r="M313" s="39">
        <f>K313+L313</f>
        <v>819.8</v>
      </c>
      <c r="N313" s="51"/>
      <c r="O313" s="66">
        <f>M313+N313</f>
        <v>819.8</v>
      </c>
      <c r="Q313" s="66">
        <f>O313+P313</f>
        <v>819.8</v>
      </c>
    </row>
    <row r="314" spans="1:17" ht="32.25" customHeight="1" x14ac:dyDescent="0.25">
      <c r="A314" s="41" t="s">
        <v>189</v>
      </c>
      <c r="B314" s="31"/>
      <c r="C314" s="31" t="s">
        <v>30</v>
      </c>
      <c r="D314" s="31"/>
      <c r="E314" s="31"/>
      <c r="F314" s="31"/>
      <c r="G314" s="40">
        <f>G315</f>
        <v>8235</v>
      </c>
      <c r="I314" s="40">
        <f>I315</f>
        <v>8235</v>
      </c>
      <c r="K314" s="40">
        <f>K315</f>
        <v>8235</v>
      </c>
      <c r="L314" s="51"/>
      <c r="M314" s="40">
        <f>M315+M318</f>
        <v>9485</v>
      </c>
      <c r="N314" s="51"/>
      <c r="O314" s="65">
        <f>O315+O318</f>
        <v>9785</v>
      </c>
      <c r="Q314" s="65">
        <f>Q315+Q318</f>
        <v>9785</v>
      </c>
    </row>
    <row r="315" spans="1:17" ht="30" customHeight="1" x14ac:dyDescent="0.25">
      <c r="A315" s="36" t="s">
        <v>190</v>
      </c>
      <c r="B315" s="31"/>
      <c r="C315" s="31" t="s">
        <v>30</v>
      </c>
      <c r="D315" s="31" t="s">
        <v>15</v>
      </c>
      <c r="E315" s="31"/>
      <c r="F315" s="31"/>
      <c r="G315" s="40">
        <f>G316+G319</f>
        <v>8235</v>
      </c>
      <c r="I315" s="40">
        <f>I316+I319</f>
        <v>8235</v>
      </c>
      <c r="K315" s="40">
        <f>K316+K319</f>
        <v>8235</v>
      </c>
      <c r="L315" s="51"/>
      <c r="M315" s="40">
        <f>M316</f>
        <v>8235</v>
      </c>
      <c r="N315" s="51"/>
      <c r="O315" s="65">
        <f>O316</f>
        <v>8235</v>
      </c>
      <c r="Q315" s="65">
        <f>Q316</f>
        <v>8235</v>
      </c>
    </row>
    <row r="316" spans="1:17" ht="14.25" customHeight="1" x14ac:dyDescent="0.25">
      <c r="A316" s="17" t="s">
        <v>269</v>
      </c>
      <c r="B316" s="34"/>
      <c r="C316" s="34" t="s">
        <v>30</v>
      </c>
      <c r="D316" s="34" t="s">
        <v>15</v>
      </c>
      <c r="E316" s="34" t="s">
        <v>268</v>
      </c>
      <c r="F316" s="34"/>
      <c r="G316" s="39">
        <f>G317</f>
        <v>8235</v>
      </c>
      <c r="I316" s="39">
        <f>I317</f>
        <v>8235</v>
      </c>
      <c r="K316" s="39">
        <f>K317</f>
        <v>8235</v>
      </c>
      <c r="L316" s="51"/>
      <c r="M316" s="39">
        <f>M317</f>
        <v>8235</v>
      </c>
      <c r="N316" s="51"/>
      <c r="O316" s="66">
        <f>O317</f>
        <v>8235</v>
      </c>
      <c r="Q316" s="66">
        <f>Q317</f>
        <v>8235</v>
      </c>
    </row>
    <row r="317" spans="1:17" x14ac:dyDescent="0.25">
      <c r="A317" s="35" t="s">
        <v>271</v>
      </c>
      <c r="B317" s="34"/>
      <c r="C317" s="34" t="s">
        <v>30</v>
      </c>
      <c r="D317" s="34" t="s">
        <v>15</v>
      </c>
      <c r="E317" s="34" t="s">
        <v>268</v>
      </c>
      <c r="F317" s="34" t="s">
        <v>270</v>
      </c>
      <c r="G317" s="39">
        <v>8235</v>
      </c>
      <c r="I317" s="39">
        <f>G317+H317</f>
        <v>8235</v>
      </c>
      <c r="K317" s="39">
        <f>I317+J317</f>
        <v>8235</v>
      </c>
      <c r="L317" s="51"/>
      <c r="M317" s="39">
        <f>K317+L317</f>
        <v>8235</v>
      </c>
      <c r="N317" s="51"/>
      <c r="O317" s="66">
        <f>M317+N317</f>
        <v>8235</v>
      </c>
      <c r="Q317" s="66">
        <f>O317+P317</f>
        <v>8235</v>
      </c>
    </row>
    <row r="318" spans="1:17" x14ac:dyDescent="0.25">
      <c r="A318" s="35" t="s">
        <v>504</v>
      </c>
      <c r="B318" s="34"/>
      <c r="C318" s="34" t="s">
        <v>30</v>
      </c>
      <c r="D318" s="34" t="s">
        <v>20</v>
      </c>
      <c r="E318" s="34"/>
      <c r="F318" s="34"/>
      <c r="G318" s="39"/>
      <c r="I318" s="39"/>
      <c r="K318" s="39"/>
      <c r="L318" s="51"/>
      <c r="M318" s="39">
        <f>M319</f>
        <v>1250</v>
      </c>
      <c r="N318" s="51"/>
      <c r="O318" s="66">
        <f>O319+O320</f>
        <v>1550</v>
      </c>
      <c r="Q318" s="66">
        <f>Q319+Q320</f>
        <v>1550</v>
      </c>
    </row>
    <row r="319" spans="1:17" ht="47.25" x14ac:dyDescent="0.25">
      <c r="A319" s="17" t="s">
        <v>543</v>
      </c>
      <c r="B319" s="34"/>
      <c r="C319" s="34" t="s">
        <v>30</v>
      </c>
      <c r="D319" s="34" t="s">
        <v>20</v>
      </c>
      <c r="E319" s="34" t="s">
        <v>502</v>
      </c>
      <c r="F319" s="34" t="s">
        <v>503</v>
      </c>
      <c r="G319" s="39"/>
      <c r="I319" s="39">
        <f>G319+H319</f>
        <v>0</v>
      </c>
      <c r="K319" s="39">
        <f>I319+J319</f>
        <v>0</v>
      </c>
      <c r="L319" s="51">
        <v>1250</v>
      </c>
      <c r="M319" s="39">
        <f>K319+L319</f>
        <v>1250</v>
      </c>
      <c r="N319" s="51"/>
      <c r="O319" s="66">
        <f>M319+N319</f>
        <v>1250</v>
      </c>
      <c r="Q319" s="66">
        <f>O319+P319</f>
        <v>1250</v>
      </c>
    </row>
    <row r="320" spans="1:17" ht="31.5" x14ac:dyDescent="0.25">
      <c r="A320" s="17" t="s">
        <v>612</v>
      </c>
      <c r="B320" s="34"/>
      <c r="C320" s="34" t="s">
        <v>30</v>
      </c>
      <c r="D320" s="34" t="s">
        <v>20</v>
      </c>
      <c r="E320" s="34" t="s">
        <v>502</v>
      </c>
      <c r="F320" s="34" t="s">
        <v>503</v>
      </c>
      <c r="G320" s="39"/>
      <c r="I320" s="39"/>
      <c r="K320" s="39"/>
      <c r="L320" s="51"/>
      <c r="M320" s="39"/>
      <c r="N320" s="51">
        <v>300</v>
      </c>
      <c r="O320" s="66">
        <f>M320+N320</f>
        <v>300</v>
      </c>
      <c r="Q320" s="66">
        <f>O320+P320</f>
        <v>300</v>
      </c>
    </row>
    <row r="321" spans="1:17" ht="17.25" customHeight="1" x14ac:dyDescent="0.25">
      <c r="A321" s="118" t="s">
        <v>637</v>
      </c>
      <c r="B321" s="31" t="s">
        <v>101</v>
      </c>
      <c r="C321" s="31"/>
      <c r="D321" s="31"/>
      <c r="E321" s="31"/>
      <c r="F321" s="31"/>
      <c r="G321" s="40">
        <f>G326+G334+G322</f>
        <v>11430.400000000001</v>
      </c>
      <c r="I321" s="40">
        <f>I326+I334+I322</f>
        <v>11464</v>
      </c>
      <c r="K321" s="40">
        <f>K326+K334+K322</f>
        <v>11464</v>
      </c>
      <c r="L321" s="51"/>
      <c r="M321" s="58">
        <f>M326+M334+M322</f>
        <v>12303.17</v>
      </c>
      <c r="N321" s="51"/>
      <c r="O321" s="65">
        <f>O326+O334+O322</f>
        <v>11083</v>
      </c>
      <c r="Q321" s="65">
        <f>Q326+Q334+Q322</f>
        <v>11083</v>
      </c>
    </row>
    <row r="322" spans="1:17" x14ac:dyDescent="0.25">
      <c r="A322" s="33" t="s">
        <v>42</v>
      </c>
      <c r="B322" s="31"/>
      <c r="C322" s="31" t="s">
        <v>24</v>
      </c>
      <c r="D322" s="31"/>
      <c r="E322" s="31"/>
      <c r="F322" s="31"/>
      <c r="G322" s="40">
        <f>G323</f>
        <v>0</v>
      </c>
      <c r="I322" s="40">
        <f>I323</f>
        <v>0</v>
      </c>
      <c r="K322" s="40">
        <f>K323</f>
        <v>0</v>
      </c>
      <c r="L322" s="51"/>
      <c r="M322" s="40">
        <f>M323</f>
        <v>23.5</v>
      </c>
      <c r="N322" s="51"/>
      <c r="O322" s="65">
        <f>O323</f>
        <v>23.5</v>
      </c>
      <c r="Q322" s="65">
        <f>Q323</f>
        <v>23.5</v>
      </c>
    </row>
    <row r="323" spans="1:17" x14ac:dyDescent="0.25">
      <c r="A323" s="9" t="s">
        <v>166</v>
      </c>
      <c r="B323" s="31"/>
      <c r="C323" s="31" t="s">
        <v>24</v>
      </c>
      <c r="D323" s="31" t="s">
        <v>27</v>
      </c>
      <c r="E323" s="31"/>
      <c r="F323" s="31"/>
      <c r="G323" s="40">
        <f>G324</f>
        <v>0</v>
      </c>
      <c r="I323" s="40">
        <f>I324</f>
        <v>0</v>
      </c>
      <c r="K323" s="40">
        <f>K324</f>
        <v>0</v>
      </c>
      <c r="L323" s="51"/>
      <c r="M323" s="40">
        <f>M324</f>
        <v>23.5</v>
      </c>
      <c r="N323" s="51"/>
      <c r="O323" s="65">
        <f>O324</f>
        <v>23.5</v>
      </c>
      <c r="Q323" s="65">
        <f>Q324</f>
        <v>23.5</v>
      </c>
    </row>
    <row r="324" spans="1:17" ht="31.5" x14ac:dyDescent="0.25">
      <c r="A324" s="1" t="s">
        <v>356</v>
      </c>
      <c r="B324" s="34"/>
      <c r="C324" s="34" t="s">
        <v>24</v>
      </c>
      <c r="D324" s="34" t="s">
        <v>27</v>
      </c>
      <c r="E324" s="34" t="s">
        <v>310</v>
      </c>
      <c r="F324" s="34"/>
      <c r="G324" s="39">
        <f>G325</f>
        <v>0</v>
      </c>
      <c r="I324" s="39">
        <f>I325</f>
        <v>0</v>
      </c>
      <c r="K324" s="39">
        <f>K325</f>
        <v>0</v>
      </c>
      <c r="L324" s="51"/>
      <c r="M324" s="39">
        <f>M325</f>
        <v>23.5</v>
      </c>
      <c r="N324" s="51"/>
      <c r="O324" s="66">
        <f>O325</f>
        <v>23.5</v>
      </c>
      <c r="Q324" s="66">
        <f>Q325</f>
        <v>23.5</v>
      </c>
    </row>
    <row r="325" spans="1:17" x14ac:dyDescent="0.25">
      <c r="A325" s="37" t="s">
        <v>225</v>
      </c>
      <c r="B325" s="34"/>
      <c r="C325" s="34" t="s">
        <v>24</v>
      </c>
      <c r="D325" s="34" t="s">
        <v>27</v>
      </c>
      <c r="E325" s="34" t="s">
        <v>310</v>
      </c>
      <c r="F325" s="34" t="s">
        <v>211</v>
      </c>
      <c r="G325" s="39"/>
      <c r="I325" s="39">
        <f>G325+H325</f>
        <v>0</v>
      </c>
      <c r="K325" s="39">
        <f>I325+J325</f>
        <v>0</v>
      </c>
      <c r="L325" s="51">
        <v>23.5</v>
      </c>
      <c r="M325" s="39">
        <f>K325+L325</f>
        <v>23.5</v>
      </c>
      <c r="N325" s="51"/>
      <c r="O325" s="66">
        <f>M325+N325</f>
        <v>23.5</v>
      </c>
      <c r="Q325" s="66">
        <f>O325+P325</f>
        <v>23.5</v>
      </c>
    </row>
    <row r="326" spans="1:17" x14ac:dyDescent="0.25">
      <c r="A326" s="25" t="s">
        <v>55</v>
      </c>
      <c r="B326" s="31"/>
      <c r="C326" s="31" t="s">
        <v>56</v>
      </c>
      <c r="D326" s="31"/>
      <c r="E326" s="31"/>
      <c r="F326" s="31"/>
      <c r="G326" s="40">
        <f>G327</f>
        <v>0</v>
      </c>
      <c r="I326" s="40">
        <f>I327</f>
        <v>0</v>
      </c>
      <c r="K326" s="40">
        <f>K327</f>
        <v>0</v>
      </c>
      <c r="L326" s="51"/>
      <c r="M326" s="40">
        <f>M327</f>
        <v>538</v>
      </c>
      <c r="N326" s="51"/>
      <c r="O326" s="65">
        <f>O327</f>
        <v>436.89</v>
      </c>
      <c r="Q326" s="65">
        <f>Q327</f>
        <v>436.89</v>
      </c>
    </row>
    <row r="327" spans="1:17" x14ac:dyDescent="0.25">
      <c r="A327" s="9" t="s">
        <v>59</v>
      </c>
      <c r="B327" s="31"/>
      <c r="C327" s="31" t="s">
        <v>56</v>
      </c>
      <c r="D327" s="31" t="s">
        <v>56</v>
      </c>
      <c r="E327" s="31"/>
      <c r="F327" s="31"/>
      <c r="G327" s="40">
        <f>G330</f>
        <v>0</v>
      </c>
      <c r="I327" s="40">
        <f>I330</f>
        <v>0</v>
      </c>
      <c r="K327" s="40">
        <f>K330</f>
        <v>0</v>
      </c>
      <c r="L327" s="51"/>
      <c r="M327" s="40">
        <f>M330+M332</f>
        <v>538</v>
      </c>
      <c r="N327" s="51"/>
      <c r="O327" s="65">
        <f>O330+O332+O328</f>
        <v>436.89</v>
      </c>
      <c r="Q327" s="65">
        <f>Q330+Q332+Q328</f>
        <v>436.89</v>
      </c>
    </row>
    <row r="328" spans="1:17" x14ac:dyDescent="0.25">
      <c r="A328" s="21" t="s">
        <v>586</v>
      </c>
      <c r="B328" s="34"/>
      <c r="C328" s="34" t="s">
        <v>56</v>
      </c>
      <c r="D328" s="34" t="s">
        <v>56</v>
      </c>
      <c r="E328" s="34" t="s">
        <v>258</v>
      </c>
      <c r="F328" s="34"/>
      <c r="G328" s="39"/>
      <c r="I328" s="39"/>
      <c r="K328" s="39"/>
      <c r="L328" s="51"/>
      <c r="M328" s="39"/>
      <c r="N328" s="51"/>
      <c r="O328" s="66">
        <f>O329</f>
        <v>15</v>
      </c>
      <c r="Q328" s="66">
        <f>Q329</f>
        <v>15</v>
      </c>
    </row>
    <row r="329" spans="1:17" x14ac:dyDescent="0.25">
      <c r="A329" s="21" t="s">
        <v>587</v>
      </c>
      <c r="B329" s="34"/>
      <c r="C329" s="34" t="s">
        <v>56</v>
      </c>
      <c r="D329" s="34" t="s">
        <v>56</v>
      </c>
      <c r="E329" s="34" t="s">
        <v>258</v>
      </c>
      <c r="F329" s="34" t="s">
        <v>276</v>
      </c>
      <c r="G329" s="39"/>
      <c r="I329" s="39"/>
      <c r="K329" s="39"/>
      <c r="L329" s="51"/>
      <c r="M329" s="39"/>
      <c r="N329" s="51">
        <v>15</v>
      </c>
      <c r="O329" s="66">
        <f>M329+N329</f>
        <v>15</v>
      </c>
      <c r="Q329" s="66">
        <f>O329+P329</f>
        <v>15</v>
      </c>
    </row>
    <row r="330" spans="1:17" ht="33" customHeight="1" x14ac:dyDescent="0.25">
      <c r="A330" s="38" t="s">
        <v>461</v>
      </c>
      <c r="B330" s="34"/>
      <c r="C330" s="34" t="s">
        <v>56</v>
      </c>
      <c r="D330" s="34" t="s">
        <v>56</v>
      </c>
      <c r="E330" s="34" t="s">
        <v>459</v>
      </c>
      <c r="F330" s="34"/>
      <c r="G330" s="39">
        <f>G331</f>
        <v>0</v>
      </c>
      <c r="I330" s="39">
        <f>I331</f>
        <v>0</v>
      </c>
      <c r="K330" s="39">
        <f>K331</f>
        <v>0</v>
      </c>
      <c r="L330" s="51"/>
      <c r="M330" s="39">
        <f>M331</f>
        <v>401</v>
      </c>
      <c r="N330" s="51"/>
      <c r="O330" s="66">
        <f>O331</f>
        <v>308.7</v>
      </c>
      <c r="Q330" s="66">
        <f>Q331</f>
        <v>308.7</v>
      </c>
    </row>
    <row r="331" spans="1:17" x14ac:dyDescent="0.25">
      <c r="A331" s="35" t="s">
        <v>275</v>
      </c>
      <c r="B331" s="34"/>
      <c r="C331" s="34" t="s">
        <v>56</v>
      </c>
      <c r="D331" s="34" t="s">
        <v>56</v>
      </c>
      <c r="E331" s="34" t="s">
        <v>459</v>
      </c>
      <c r="F331" s="34" t="s">
        <v>276</v>
      </c>
      <c r="G331" s="39"/>
      <c r="I331" s="39">
        <f>G331+H331</f>
        <v>0</v>
      </c>
      <c r="K331" s="39">
        <f>I331+J331</f>
        <v>0</v>
      </c>
      <c r="L331" s="51">
        <v>401</v>
      </c>
      <c r="M331" s="39">
        <f>K331+L331</f>
        <v>401</v>
      </c>
      <c r="N331" s="51">
        <v>-92.3</v>
      </c>
      <c r="O331" s="66">
        <f>M331+N331</f>
        <v>308.7</v>
      </c>
      <c r="Q331" s="66">
        <f>O331+P331</f>
        <v>308.7</v>
      </c>
    </row>
    <row r="332" spans="1:17" ht="31.5" x14ac:dyDescent="0.25">
      <c r="A332" s="38" t="s">
        <v>463</v>
      </c>
      <c r="B332" s="34"/>
      <c r="C332" s="34" t="s">
        <v>56</v>
      </c>
      <c r="D332" s="34" t="s">
        <v>56</v>
      </c>
      <c r="E332" s="34" t="s">
        <v>584</v>
      </c>
      <c r="F332" s="34"/>
      <c r="G332" s="39"/>
      <c r="I332" s="39"/>
      <c r="K332" s="39"/>
      <c r="L332" s="51"/>
      <c r="M332" s="39">
        <f>M333</f>
        <v>137</v>
      </c>
      <c r="N332" s="51"/>
      <c r="O332" s="66">
        <f>O333</f>
        <v>113.19</v>
      </c>
      <c r="Q332" s="66">
        <f>Q333</f>
        <v>113.19</v>
      </c>
    </row>
    <row r="333" spans="1:17" x14ac:dyDescent="0.25">
      <c r="A333" s="35" t="s">
        <v>275</v>
      </c>
      <c r="B333" s="34"/>
      <c r="C333" s="34" t="s">
        <v>56</v>
      </c>
      <c r="D333" s="34" t="s">
        <v>56</v>
      </c>
      <c r="E333" s="34" t="s">
        <v>584</v>
      </c>
      <c r="F333" s="34" t="s">
        <v>276</v>
      </c>
      <c r="G333" s="39"/>
      <c r="I333" s="39"/>
      <c r="K333" s="39"/>
      <c r="L333" s="51">
        <v>137</v>
      </c>
      <c r="M333" s="39">
        <f>K333+L333</f>
        <v>137</v>
      </c>
      <c r="N333" s="51">
        <v>-23.81</v>
      </c>
      <c r="O333" s="66">
        <f>M333+N333</f>
        <v>113.19</v>
      </c>
      <c r="Q333" s="66">
        <f>O333+P333</f>
        <v>113.19</v>
      </c>
    </row>
    <row r="334" spans="1:17" x14ac:dyDescent="0.25">
      <c r="A334" s="30" t="s">
        <v>67</v>
      </c>
      <c r="B334" s="31"/>
      <c r="C334" s="31" t="s">
        <v>68</v>
      </c>
      <c r="D334" s="31"/>
      <c r="E334" s="31"/>
      <c r="F334" s="31"/>
      <c r="G334" s="40">
        <f>G338+G349+G335</f>
        <v>11430.400000000001</v>
      </c>
      <c r="I334" s="40">
        <f>I338+I349+I335</f>
        <v>11464</v>
      </c>
      <c r="K334" s="40">
        <f>K338+K349+K335</f>
        <v>11464</v>
      </c>
      <c r="L334" s="51"/>
      <c r="M334" s="40">
        <f>M338+M349+M335</f>
        <v>11741.67</v>
      </c>
      <c r="N334" s="51"/>
      <c r="O334" s="65">
        <f>O338+O349+O335</f>
        <v>10622.61</v>
      </c>
      <c r="Q334" s="65">
        <f>Q338+Q349+Q335</f>
        <v>10622.61</v>
      </c>
    </row>
    <row r="335" spans="1:17" x14ac:dyDescent="0.25">
      <c r="A335" s="30" t="s">
        <v>390</v>
      </c>
      <c r="B335" s="31"/>
      <c r="C335" s="31" t="s">
        <v>68</v>
      </c>
      <c r="D335" s="31" t="s">
        <v>15</v>
      </c>
      <c r="E335" s="31"/>
      <c r="F335" s="31"/>
      <c r="G335" s="40">
        <f>G336</f>
        <v>440.2</v>
      </c>
      <c r="I335" s="40">
        <f>I336</f>
        <v>473.8</v>
      </c>
      <c r="K335" s="40">
        <f>K336</f>
        <v>473.8</v>
      </c>
      <c r="L335" s="51"/>
      <c r="M335" s="40">
        <f>M336</f>
        <v>473.8</v>
      </c>
      <c r="N335" s="51"/>
      <c r="O335" s="65">
        <f>O336</f>
        <v>473.8</v>
      </c>
      <c r="Q335" s="65">
        <f>Q336</f>
        <v>473.8</v>
      </c>
    </row>
    <row r="336" spans="1:17" x14ac:dyDescent="0.25">
      <c r="A336" s="35" t="s">
        <v>391</v>
      </c>
      <c r="B336" s="31"/>
      <c r="C336" s="34" t="s">
        <v>68</v>
      </c>
      <c r="D336" s="34" t="s">
        <v>15</v>
      </c>
      <c r="E336" s="34" t="s">
        <v>392</v>
      </c>
      <c r="F336" s="34"/>
      <c r="G336" s="39">
        <f>G337</f>
        <v>440.2</v>
      </c>
      <c r="I336" s="39">
        <f>I337</f>
        <v>473.8</v>
      </c>
      <c r="K336" s="39">
        <f>K337</f>
        <v>473.8</v>
      </c>
      <c r="L336" s="51"/>
      <c r="M336" s="39">
        <f>M337</f>
        <v>473.8</v>
      </c>
      <c r="N336" s="51"/>
      <c r="O336" s="66">
        <f>O337</f>
        <v>473.8</v>
      </c>
      <c r="Q336" s="66">
        <f>Q337</f>
        <v>473.8</v>
      </c>
    </row>
    <row r="337" spans="1:17" ht="21" customHeight="1" x14ac:dyDescent="0.25">
      <c r="A337" s="38" t="s">
        <v>393</v>
      </c>
      <c r="B337" s="31"/>
      <c r="C337" s="34" t="s">
        <v>68</v>
      </c>
      <c r="D337" s="34" t="s">
        <v>15</v>
      </c>
      <c r="E337" s="34" t="s">
        <v>392</v>
      </c>
      <c r="F337" s="34" t="s">
        <v>394</v>
      </c>
      <c r="G337" s="39">
        <f>440.2</f>
        <v>440.2</v>
      </c>
      <c r="H337" s="51">
        <v>33.6</v>
      </c>
      <c r="I337" s="39">
        <f>G337+H337</f>
        <v>473.8</v>
      </c>
      <c r="K337" s="39">
        <f>I337+J337</f>
        <v>473.8</v>
      </c>
      <c r="L337" s="51"/>
      <c r="M337" s="39">
        <f>K337+L337</f>
        <v>473.8</v>
      </c>
      <c r="N337" s="51"/>
      <c r="O337" s="66">
        <f>M337+N337</f>
        <v>473.8</v>
      </c>
      <c r="Q337" s="66">
        <f>O337+P337</f>
        <v>473.8</v>
      </c>
    </row>
    <row r="338" spans="1:17" x14ac:dyDescent="0.25">
      <c r="A338" s="30" t="s">
        <v>69</v>
      </c>
      <c r="B338" s="31"/>
      <c r="C338" s="31" t="s">
        <v>68</v>
      </c>
      <c r="D338" s="31" t="s">
        <v>20</v>
      </c>
      <c r="E338" s="31"/>
      <c r="F338" s="31"/>
      <c r="G338" s="40">
        <f>G341+G343+G347</f>
        <v>4605.3999999999996</v>
      </c>
      <c r="I338" s="40">
        <f>I341+I343+I347</f>
        <v>4605.3999999999996</v>
      </c>
      <c r="K338" s="40">
        <f>K341+K343+K347</f>
        <v>4605.3999999999996</v>
      </c>
      <c r="L338" s="51"/>
      <c r="M338" s="40">
        <f>M341+M343+M347+M339+M345</f>
        <v>4857.22</v>
      </c>
      <c r="N338" s="51"/>
      <c r="O338" s="65">
        <f>O341+O343+O347+O339+O345</f>
        <v>4857.22</v>
      </c>
      <c r="Q338" s="65">
        <f>Q341+Q343+Q347+Q339+Q345</f>
        <v>4857.22</v>
      </c>
    </row>
    <row r="339" spans="1:17" ht="17.25" customHeight="1" x14ac:dyDescent="0.25">
      <c r="A339" s="38" t="s">
        <v>466</v>
      </c>
      <c r="B339" s="34"/>
      <c r="C339" s="34" t="s">
        <v>68</v>
      </c>
      <c r="D339" s="34" t="s">
        <v>20</v>
      </c>
      <c r="E339" s="34" t="s">
        <v>465</v>
      </c>
      <c r="F339" s="34"/>
      <c r="G339" s="39"/>
      <c r="I339" s="39"/>
      <c r="K339" s="39"/>
      <c r="L339" s="51"/>
      <c r="M339" s="39">
        <f>M340</f>
        <v>99.54</v>
      </c>
      <c r="N339" s="51"/>
      <c r="O339" s="66">
        <f>O340</f>
        <v>99.54</v>
      </c>
      <c r="Q339" s="66">
        <f>Q340</f>
        <v>99.54</v>
      </c>
    </row>
    <row r="340" spans="1:17" ht="31.5" x14ac:dyDescent="0.25">
      <c r="A340" s="38" t="s">
        <v>286</v>
      </c>
      <c r="B340" s="34"/>
      <c r="C340" s="34" t="s">
        <v>68</v>
      </c>
      <c r="D340" s="34" t="s">
        <v>20</v>
      </c>
      <c r="E340" s="34" t="s">
        <v>465</v>
      </c>
      <c r="F340" s="34" t="s">
        <v>285</v>
      </c>
      <c r="G340" s="39"/>
      <c r="I340" s="39"/>
      <c r="K340" s="39"/>
      <c r="L340" s="51">
        <v>99.54</v>
      </c>
      <c r="M340" s="39">
        <f>K340+L340</f>
        <v>99.54</v>
      </c>
      <c r="N340" s="51"/>
      <c r="O340" s="66">
        <f>M340+N340</f>
        <v>99.54</v>
      </c>
      <c r="Q340" s="66">
        <f>O340+P340</f>
        <v>99.54</v>
      </c>
    </row>
    <row r="341" spans="1:17" x14ac:dyDescent="0.25">
      <c r="A341" s="35" t="s">
        <v>102</v>
      </c>
      <c r="B341" s="34"/>
      <c r="C341" s="34" t="s">
        <v>68</v>
      </c>
      <c r="D341" s="34" t="s">
        <v>20</v>
      </c>
      <c r="E341" s="34" t="s">
        <v>274</v>
      </c>
      <c r="F341" s="34"/>
      <c r="G341" s="39">
        <f>G342</f>
        <v>958.6</v>
      </c>
      <c r="I341" s="39">
        <f>I342</f>
        <v>958.6</v>
      </c>
      <c r="K341" s="39">
        <f>K342</f>
        <v>958.6</v>
      </c>
      <c r="L341" s="51"/>
      <c r="M341" s="39">
        <f>M342</f>
        <v>1104.3</v>
      </c>
      <c r="N341" s="51"/>
      <c r="O341" s="66">
        <f>O342</f>
        <v>1104.3</v>
      </c>
      <c r="Q341" s="66">
        <f>Q342</f>
        <v>1104.3</v>
      </c>
    </row>
    <row r="342" spans="1:17" x14ac:dyDescent="0.25">
      <c r="A342" s="35" t="s">
        <v>275</v>
      </c>
      <c r="B342" s="34"/>
      <c r="C342" s="34" t="s">
        <v>68</v>
      </c>
      <c r="D342" s="34" t="s">
        <v>20</v>
      </c>
      <c r="E342" s="34" t="s">
        <v>274</v>
      </c>
      <c r="F342" s="34" t="s">
        <v>276</v>
      </c>
      <c r="G342" s="39">
        <f>98.6+350+510</f>
        <v>958.6</v>
      </c>
      <c r="I342" s="39">
        <f>G342+H342</f>
        <v>958.6</v>
      </c>
      <c r="K342" s="39">
        <f>I342+J342</f>
        <v>958.6</v>
      </c>
      <c r="L342" s="51">
        <f>25+120.7</f>
        <v>145.69999999999999</v>
      </c>
      <c r="M342" s="39">
        <f>K342+L342</f>
        <v>1104.3</v>
      </c>
      <c r="N342" s="51"/>
      <c r="O342" s="66">
        <f>M342+N342</f>
        <v>1104.3</v>
      </c>
      <c r="Q342" s="66">
        <f>O342+P342</f>
        <v>1104.3</v>
      </c>
    </row>
    <row r="343" spans="1:17" x14ac:dyDescent="0.25">
      <c r="A343" s="35" t="s">
        <v>72</v>
      </c>
      <c r="B343" s="34"/>
      <c r="C343" s="34" t="s">
        <v>68</v>
      </c>
      <c r="D343" s="34" t="s">
        <v>20</v>
      </c>
      <c r="E343" s="34" t="s">
        <v>230</v>
      </c>
      <c r="F343" s="34"/>
      <c r="G343" s="39">
        <f>G344</f>
        <v>1920</v>
      </c>
      <c r="I343" s="39">
        <f>I344</f>
        <v>1920</v>
      </c>
      <c r="K343" s="39">
        <f>K344</f>
        <v>1920</v>
      </c>
      <c r="L343" s="51"/>
      <c r="M343" s="39">
        <f>M344</f>
        <v>1790</v>
      </c>
      <c r="N343" s="51"/>
      <c r="O343" s="66">
        <f>O344</f>
        <v>1790</v>
      </c>
      <c r="Q343" s="66">
        <f>Q344</f>
        <v>1790</v>
      </c>
    </row>
    <row r="344" spans="1:17" x14ac:dyDescent="0.25">
      <c r="A344" s="37" t="s">
        <v>225</v>
      </c>
      <c r="B344" s="34"/>
      <c r="C344" s="34" t="s">
        <v>68</v>
      </c>
      <c r="D344" s="34" t="s">
        <v>20</v>
      </c>
      <c r="E344" s="34" t="s">
        <v>230</v>
      </c>
      <c r="F344" s="34" t="s">
        <v>211</v>
      </c>
      <c r="G344" s="39">
        <f>31.9+252+296.7+367.8+297.6+400+144+130</f>
        <v>1920</v>
      </c>
      <c r="I344" s="39">
        <f>G344+H344</f>
        <v>1920</v>
      </c>
      <c r="K344" s="39">
        <f>I344+J344</f>
        <v>1920</v>
      </c>
      <c r="L344" s="51">
        <v>-130</v>
      </c>
      <c r="M344" s="39">
        <f>K344+L344</f>
        <v>1790</v>
      </c>
      <c r="N344" s="51"/>
      <c r="O344" s="66">
        <f>M344+N344</f>
        <v>1790</v>
      </c>
      <c r="Q344" s="66">
        <f>O344+P344</f>
        <v>1790</v>
      </c>
    </row>
    <row r="345" spans="1:17" x14ac:dyDescent="0.25">
      <c r="A345" s="38" t="s">
        <v>469</v>
      </c>
      <c r="B345" s="34"/>
      <c r="C345" s="34" t="s">
        <v>68</v>
      </c>
      <c r="D345" s="34" t="s">
        <v>20</v>
      </c>
      <c r="E345" s="34" t="s">
        <v>468</v>
      </c>
      <c r="F345" s="34"/>
      <c r="G345" s="39"/>
      <c r="I345" s="39"/>
      <c r="K345" s="39"/>
      <c r="L345" s="51"/>
      <c r="M345" s="39">
        <f>M346</f>
        <v>136.58000000000001</v>
      </c>
      <c r="N345" s="51"/>
      <c r="O345" s="66">
        <f>O346</f>
        <v>136.58000000000001</v>
      </c>
      <c r="Q345" s="66">
        <f>Q346</f>
        <v>136.58000000000001</v>
      </c>
    </row>
    <row r="346" spans="1:17" ht="31.5" x14ac:dyDescent="0.25">
      <c r="A346" s="38" t="s">
        <v>286</v>
      </c>
      <c r="B346" s="34"/>
      <c r="C346" s="34" t="s">
        <v>68</v>
      </c>
      <c r="D346" s="34" t="s">
        <v>20</v>
      </c>
      <c r="E346" s="34" t="s">
        <v>468</v>
      </c>
      <c r="F346" s="34" t="s">
        <v>285</v>
      </c>
      <c r="G346" s="39"/>
      <c r="I346" s="39"/>
      <c r="K346" s="39"/>
      <c r="L346" s="51">
        <v>136.58000000000001</v>
      </c>
      <c r="M346" s="39">
        <f>K346+L346</f>
        <v>136.58000000000001</v>
      </c>
      <c r="N346" s="51"/>
      <c r="O346" s="66">
        <f>M346+N346</f>
        <v>136.58000000000001</v>
      </c>
      <c r="Q346" s="66">
        <f>O346+P346</f>
        <v>136.58000000000001</v>
      </c>
    </row>
    <row r="347" spans="1:17" ht="16.5" customHeight="1" x14ac:dyDescent="0.25">
      <c r="A347" s="17" t="s">
        <v>363</v>
      </c>
      <c r="B347" s="34"/>
      <c r="C347" s="34" t="s">
        <v>68</v>
      </c>
      <c r="D347" s="34" t="s">
        <v>20</v>
      </c>
      <c r="E347" s="34" t="s">
        <v>277</v>
      </c>
      <c r="F347" s="34"/>
      <c r="G347" s="39">
        <f>G348</f>
        <v>1726.8</v>
      </c>
      <c r="I347" s="39">
        <f>I348</f>
        <v>1726.8</v>
      </c>
      <c r="K347" s="39">
        <f>K348</f>
        <v>1726.8</v>
      </c>
      <c r="L347" s="51"/>
      <c r="M347" s="39">
        <f>M348</f>
        <v>1726.8</v>
      </c>
      <c r="N347" s="51"/>
      <c r="O347" s="66">
        <f>O348</f>
        <v>1726.8</v>
      </c>
      <c r="Q347" s="66">
        <f>Q348</f>
        <v>1726.8</v>
      </c>
    </row>
    <row r="348" spans="1:17" x14ac:dyDescent="0.25">
      <c r="A348" s="35" t="s">
        <v>279</v>
      </c>
      <c r="B348" s="34"/>
      <c r="C348" s="34" t="s">
        <v>68</v>
      </c>
      <c r="D348" s="34" t="s">
        <v>20</v>
      </c>
      <c r="E348" s="34" t="s">
        <v>277</v>
      </c>
      <c r="F348" s="34" t="s">
        <v>278</v>
      </c>
      <c r="G348" s="39">
        <v>1726.8</v>
      </c>
      <c r="I348" s="39">
        <f>G348+H348</f>
        <v>1726.8</v>
      </c>
      <c r="K348" s="39">
        <f>I348+J348</f>
        <v>1726.8</v>
      </c>
      <c r="L348" s="51"/>
      <c r="M348" s="39">
        <f>K348+L348</f>
        <v>1726.8</v>
      </c>
      <c r="N348" s="51"/>
      <c r="O348" s="66">
        <f>M348+N348</f>
        <v>1726.8</v>
      </c>
      <c r="Q348" s="66">
        <f>O348+P348</f>
        <v>1726.8</v>
      </c>
    </row>
    <row r="349" spans="1:17" x14ac:dyDescent="0.25">
      <c r="A349" s="30" t="s">
        <v>103</v>
      </c>
      <c r="B349" s="31"/>
      <c r="C349" s="31" t="s">
        <v>68</v>
      </c>
      <c r="D349" s="31" t="s">
        <v>98</v>
      </c>
      <c r="E349" s="31"/>
      <c r="F349" s="31"/>
      <c r="G349" s="40">
        <f>G350+G361+G356+G366</f>
        <v>6384.8000000000011</v>
      </c>
      <c r="I349" s="40">
        <f>I350+I361+I356+I366</f>
        <v>6384.8000000000011</v>
      </c>
      <c r="K349" s="40">
        <f>K350+K361+K356+K366</f>
        <v>6384.8000000000011</v>
      </c>
      <c r="L349" s="51"/>
      <c r="M349" s="40">
        <f>M350+M361+M356+M366</f>
        <v>6410.6500000000005</v>
      </c>
      <c r="N349" s="51"/>
      <c r="O349" s="65">
        <f>O350+O361+O356+O366</f>
        <v>5291.5900000000011</v>
      </c>
      <c r="Q349" s="65">
        <f>Q350+Q361+Q356+Q366</f>
        <v>5291.5900000000011</v>
      </c>
    </row>
    <row r="350" spans="1:17" x14ac:dyDescent="0.25">
      <c r="A350" s="35" t="s">
        <v>235</v>
      </c>
      <c r="B350" s="34"/>
      <c r="C350" s="34" t="s">
        <v>68</v>
      </c>
      <c r="D350" s="34" t="s">
        <v>98</v>
      </c>
      <c r="E350" s="34" t="s">
        <v>23</v>
      </c>
      <c r="F350" s="34"/>
      <c r="G350" s="39">
        <f>G351+G353+G354</f>
        <v>3353.9000000000005</v>
      </c>
      <c r="I350" s="39">
        <f>I351+I353+I354</f>
        <v>3353.9000000000005</v>
      </c>
      <c r="K350" s="39">
        <f>K351+K353+K354</f>
        <v>3353.9000000000005</v>
      </c>
      <c r="L350" s="51"/>
      <c r="M350" s="39">
        <f>M351+M353+M354+M352+M355</f>
        <v>3353.9000000000005</v>
      </c>
      <c r="N350" s="51"/>
      <c r="O350" s="66">
        <f>O351+O353+O354+O352+O355</f>
        <v>3353.9000000000005</v>
      </c>
      <c r="Q350" s="66">
        <f>Q351+Q353+Q354+Q352+Q355</f>
        <v>3353.9000000000005</v>
      </c>
    </row>
    <row r="351" spans="1:17" x14ac:dyDescent="0.25">
      <c r="A351" s="17" t="s">
        <v>205</v>
      </c>
      <c r="B351" s="34"/>
      <c r="C351" s="34" t="s">
        <v>68</v>
      </c>
      <c r="D351" s="34" t="s">
        <v>98</v>
      </c>
      <c r="E351" s="34" t="s">
        <v>23</v>
      </c>
      <c r="F351" s="34" t="s">
        <v>206</v>
      </c>
      <c r="G351" s="39">
        <f>2396.9+670.2</f>
        <v>3067.1000000000004</v>
      </c>
      <c r="I351" s="39">
        <f>G351+H351</f>
        <v>3067.1000000000004</v>
      </c>
      <c r="K351" s="39">
        <f>I351+J351</f>
        <v>3067.1000000000004</v>
      </c>
      <c r="L351" s="51"/>
      <c r="M351" s="39">
        <f>K351+L351</f>
        <v>3067.1000000000004</v>
      </c>
      <c r="N351" s="51"/>
      <c r="O351" s="66">
        <f>M351+N351</f>
        <v>3067.1000000000004</v>
      </c>
      <c r="Q351" s="66">
        <f>O351+P351</f>
        <v>3067.1000000000004</v>
      </c>
    </row>
    <row r="352" spans="1:17" x14ac:dyDescent="0.25">
      <c r="A352" s="17" t="s">
        <v>207</v>
      </c>
      <c r="B352" s="34"/>
      <c r="C352" s="34" t="s">
        <v>68</v>
      </c>
      <c r="D352" s="34" t="s">
        <v>20</v>
      </c>
      <c r="E352" s="34" t="s">
        <v>23</v>
      </c>
      <c r="F352" s="34" t="s">
        <v>208</v>
      </c>
      <c r="G352" s="39"/>
      <c r="I352" s="39"/>
      <c r="K352" s="39"/>
      <c r="L352" s="51">
        <v>3</v>
      </c>
      <c r="M352" s="39">
        <f>K352+L352</f>
        <v>3</v>
      </c>
      <c r="N352" s="51"/>
      <c r="O352" s="66">
        <f>M352+N352</f>
        <v>3</v>
      </c>
      <c r="Q352" s="66">
        <f>O352+P352</f>
        <v>3</v>
      </c>
    </row>
    <row r="353" spans="1:17" ht="18" customHeight="1" x14ac:dyDescent="0.25">
      <c r="A353" s="17" t="s">
        <v>209</v>
      </c>
      <c r="B353" s="34"/>
      <c r="C353" s="34" t="s">
        <v>68</v>
      </c>
      <c r="D353" s="34" t="s">
        <v>98</v>
      </c>
      <c r="E353" s="34" t="s">
        <v>23</v>
      </c>
      <c r="F353" s="34" t="s">
        <v>210</v>
      </c>
      <c r="G353" s="39">
        <f>6+20+15+30</f>
        <v>71</v>
      </c>
      <c r="I353" s="39">
        <f>G353+H353</f>
        <v>71</v>
      </c>
      <c r="K353" s="39">
        <f>I353+J353</f>
        <v>71</v>
      </c>
      <c r="L353" s="51"/>
      <c r="M353" s="39">
        <f>K353+L353</f>
        <v>71</v>
      </c>
      <c r="N353" s="51"/>
      <c r="O353" s="66">
        <f>M353+N353</f>
        <v>71</v>
      </c>
      <c r="Q353" s="66">
        <f>O353+P353</f>
        <v>71</v>
      </c>
    </row>
    <row r="354" spans="1:17" x14ac:dyDescent="0.25">
      <c r="A354" s="37" t="s">
        <v>225</v>
      </c>
      <c r="B354" s="34"/>
      <c r="C354" s="34" t="s">
        <v>68</v>
      </c>
      <c r="D354" s="34" t="s">
        <v>98</v>
      </c>
      <c r="E354" s="34" t="s">
        <v>23</v>
      </c>
      <c r="F354" s="34" t="s">
        <v>211</v>
      </c>
      <c r="G354" s="39">
        <f>12+2+4.8+24+27+4+142</f>
        <v>215.8</v>
      </c>
      <c r="I354" s="39">
        <f>G354+H354</f>
        <v>215.8</v>
      </c>
      <c r="K354" s="39">
        <f>I354+J354</f>
        <v>215.8</v>
      </c>
      <c r="L354" s="51">
        <v>-6</v>
      </c>
      <c r="M354" s="39">
        <f>K354+L354</f>
        <v>209.8</v>
      </c>
      <c r="N354" s="51"/>
      <c r="O354" s="66">
        <f>M354+N354</f>
        <v>209.8</v>
      </c>
      <c r="Q354" s="66">
        <f>O354+P354</f>
        <v>209.8</v>
      </c>
    </row>
    <row r="355" spans="1:17" x14ac:dyDescent="0.25">
      <c r="A355" s="43" t="s">
        <v>301</v>
      </c>
      <c r="B355" s="34"/>
      <c r="C355" s="34" t="s">
        <v>68</v>
      </c>
      <c r="D355" s="34" t="s">
        <v>98</v>
      </c>
      <c r="E355" s="34" t="s">
        <v>23</v>
      </c>
      <c r="F355" s="34" t="s">
        <v>300</v>
      </c>
      <c r="G355" s="39"/>
      <c r="I355" s="39"/>
      <c r="K355" s="39"/>
      <c r="L355" s="51">
        <v>3</v>
      </c>
      <c r="M355" s="39">
        <f>K355+L355</f>
        <v>3</v>
      </c>
      <c r="N355" s="51"/>
      <c r="O355" s="66">
        <f>M355+N355</f>
        <v>3</v>
      </c>
      <c r="Q355" s="66">
        <f>O355+P355</f>
        <v>3</v>
      </c>
    </row>
    <row r="356" spans="1:17" x14ac:dyDescent="0.25">
      <c r="A356" s="119" t="s">
        <v>282</v>
      </c>
      <c r="B356" s="34"/>
      <c r="C356" s="34" t="s">
        <v>68</v>
      </c>
      <c r="D356" s="34" t="s">
        <v>98</v>
      </c>
      <c r="E356" s="34" t="s">
        <v>324</v>
      </c>
      <c r="F356" s="34"/>
      <c r="G356" s="39">
        <f>G357+G360+G359</f>
        <v>864</v>
      </c>
      <c r="I356" s="39">
        <f>I357+I360+I359</f>
        <v>864</v>
      </c>
      <c r="K356" s="39">
        <f>K357+K360+K359</f>
        <v>864</v>
      </c>
      <c r="L356" s="51"/>
      <c r="M356" s="39">
        <f>M357+M360+M359+M358</f>
        <v>886.8</v>
      </c>
      <c r="N356" s="51"/>
      <c r="O356" s="66">
        <f>O357+O360+O359+O358</f>
        <v>886.8</v>
      </c>
      <c r="Q356" s="66">
        <f>Q357+Q360+Q359+Q358</f>
        <v>886.8</v>
      </c>
    </row>
    <row r="357" spans="1:17" x14ac:dyDescent="0.25">
      <c r="A357" s="17" t="s">
        <v>205</v>
      </c>
      <c r="B357" s="34"/>
      <c r="C357" s="34" t="s">
        <v>68</v>
      </c>
      <c r="D357" s="34" t="s">
        <v>98</v>
      </c>
      <c r="E357" s="34" t="s">
        <v>325</v>
      </c>
      <c r="F357" s="34" t="s">
        <v>206</v>
      </c>
      <c r="G357" s="39">
        <f>652.1+196.9</f>
        <v>849</v>
      </c>
      <c r="I357" s="39">
        <f>G357+H357</f>
        <v>849</v>
      </c>
      <c r="K357" s="39">
        <f>I357+J357</f>
        <v>849</v>
      </c>
      <c r="L357" s="51">
        <v>22.8</v>
      </c>
      <c r="M357" s="39">
        <f>K357+L357</f>
        <v>871.8</v>
      </c>
      <c r="N357" s="51"/>
      <c r="O357" s="66">
        <f>M357+N357</f>
        <v>871.8</v>
      </c>
      <c r="Q357" s="66">
        <f>O357+P357</f>
        <v>871.8</v>
      </c>
    </row>
    <row r="358" spans="1:17" x14ac:dyDescent="0.25">
      <c r="A358" s="17" t="s">
        <v>207</v>
      </c>
      <c r="B358" s="34"/>
      <c r="C358" s="34" t="s">
        <v>68</v>
      </c>
      <c r="D358" s="34" t="s">
        <v>98</v>
      </c>
      <c r="E358" s="34" t="s">
        <v>23</v>
      </c>
      <c r="F358" s="34" t="s">
        <v>208</v>
      </c>
      <c r="G358" s="39"/>
      <c r="I358" s="39"/>
      <c r="K358" s="39"/>
      <c r="L358" s="51">
        <v>2</v>
      </c>
      <c r="M358" s="39">
        <f>K358+L358</f>
        <v>2</v>
      </c>
      <c r="N358" s="51"/>
      <c r="O358" s="66">
        <f>M358+N358</f>
        <v>2</v>
      </c>
      <c r="Q358" s="66">
        <f>O358+P358</f>
        <v>2</v>
      </c>
    </row>
    <row r="359" spans="1:17" ht="15" customHeight="1" x14ac:dyDescent="0.25">
      <c r="A359" s="17" t="s">
        <v>209</v>
      </c>
      <c r="B359" s="34"/>
      <c r="C359" s="34" t="s">
        <v>68</v>
      </c>
      <c r="D359" s="34" t="s">
        <v>98</v>
      </c>
      <c r="E359" s="34" t="s">
        <v>324</v>
      </c>
      <c r="F359" s="34" t="s">
        <v>210</v>
      </c>
      <c r="G359" s="39">
        <f>3+4</f>
        <v>7</v>
      </c>
      <c r="I359" s="39">
        <f>G359+H359</f>
        <v>7</v>
      </c>
      <c r="K359" s="39">
        <f>I359+J359</f>
        <v>7</v>
      </c>
      <c r="L359" s="51"/>
      <c r="M359" s="39">
        <f>K359+L359</f>
        <v>7</v>
      </c>
      <c r="N359" s="51"/>
      <c r="O359" s="66">
        <f>M359+N359</f>
        <v>7</v>
      </c>
      <c r="Q359" s="66">
        <f>O359+P359</f>
        <v>7</v>
      </c>
    </row>
    <row r="360" spans="1:17" x14ac:dyDescent="0.25">
      <c r="A360" s="37" t="s">
        <v>225</v>
      </c>
      <c r="B360" s="34"/>
      <c r="C360" s="34" t="s">
        <v>68</v>
      </c>
      <c r="D360" s="34" t="s">
        <v>98</v>
      </c>
      <c r="E360" s="34" t="s">
        <v>325</v>
      </c>
      <c r="F360" s="34" t="s">
        <v>211</v>
      </c>
      <c r="G360" s="39">
        <f>3.5+4.5</f>
        <v>8</v>
      </c>
      <c r="I360" s="39">
        <f>G360+H360</f>
        <v>8</v>
      </c>
      <c r="K360" s="39">
        <f>I360+J360</f>
        <v>8</v>
      </c>
      <c r="L360" s="51">
        <v>-2</v>
      </c>
      <c r="M360" s="39">
        <f>K360+L360</f>
        <v>6</v>
      </c>
      <c r="N360" s="51"/>
      <c r="O360" s="66">
        <f>M360+N360</f>
        <v>6</v>
      </c>
      <c r="Q360" s="66">
        <f>O360+P360</f>
        <v>6</v>
      </c>
    </row>
    <row r="361" spans="1:17" ht="27.75" customHeight="1" x14ac:dyDescent="0.25">
      <c r="A361" s="17" t="s">
        <v>281</v>
      </c>
      <c r="B361" s="34"/>
      <c r="C361" s="34" t="s">
        <v>68</v>
      </c>
      <c r="D361" s="34" t="s">
        <v>98</v>
      </c>
      <c r="E361" s="34" t="s">
        <v>323</v>
      </c>
      <c r="F361" s="34"/>
      <c r="G361" s="39">
        <f>G362+G365+G364</f>
        <v>144.9</v>
      </c>
      <c r="I361" s="39">
        <f>I362+I365+I364</f>
        <v>144.9</v>
      </c>
      <c r="K361" s="39">
        <f>K362+K365+K364</f>
        <v>144.9</v>
      </c>
      <c r="L361" s="51"/>
      <c r="M361" s="39">
        <f>M362+M365+M364+M363</f>
        <v>147.95000000000002</v>
      </c>
      <c r="N361" s="51"/>
      <c r="O361" s="66">
        <f>O362+O365+O364+O363</f>
        <v>158.34000000000003</v>
      </c>
      <c r="Q361" s="66">
        <f>Q362+Q365+Q364+Q363</f>
        <v>158.34000000000003</v>
      </c>
    </row>
    <row r="362" spans="1:17" x14ac:dyDescent="0.25">
      <c r="A362" s="17" t="s">
        <v>205</v>
      </c>
      <c r="B362" s="34"/>
      <c r="C362" s="34" t="s">
        <v>68</v>
      </c>
      <c r="D362" s="34" t="s">
        <v>98</v>
      </c>
      <c r="E362" s="34" t="s">
        <v>323</v>
      </c>
      <c r="F362" s="34" t="s">
        <v>206</v>
      </c>
      <c r="G362" s="39">
        <f>104.4+31.5</f>
        <v>135.9</v>
      </c>
      <c r="I362" s="39">
        <f>G362+H362</f>
        <v>135.9</v>
      </c>
      <c r="K362" s="39">
        <f>I362+J362</f>
        <v>135.9</v>
      </c>
      <c r="L362" s="51">
        <v>3.05</v>
      </c>
      <c r="M362" s="39">
        <f>K362+L362</f>
        <v>138.95000000000002</v>
      </c>
      <c r="N362" s="51">
        <v>10.39</v>
      </c>
      <c r="O362" s="66">
        <f>M362+N362</f>
        <v>149.34000000000003</v>
      </c>
      <c r="Q362" s="66">
        <f>O362+P362</f>
        <v>149.34000000000003</v>
      </c>
    </row>
    <row r="363" spans="1:17" x14ac:dyDescent="0.25">
      <c r="A363" s="17" t="s">
        <v>207</v>
      </c>
      <c r="B363" s="34"/>
      <c r="C363" s="34" t="s">
        <v>68</v>
      </c>
      <c r="D363" s="34" t="s">
        <v>98</v>
      </c>
      <c r="E363" s="34" t="s">
        <v>323</v>
      </c>
      <c r="F363" s="34" t="s">
        <v>208</v>
      </c>
      <c r="G363" s="39"/>
      <c r="I363" s="39"/>
      <c r="K363" s="39"/>
      <c r="L363" s="51">
        <v>1</v>
      </c>
      <c r="M363" s="39">
        <f>K363+L363</f>
        <v>1</v>
      </c>
      <c r="N363" s="51"/>
      <c r="O363" s="66">
        <f>M363+N363</f>
        <v>1</v>
      </c>
      <c r="Q363" s="66">
        <f>O363+P363</f>
        <v>1</v>
      </c>
    </row>
    <row r="364" spans="1:17" ht="16.5" customHeight="1" x14ac:dyDescent="0.25">
      <c r="A364" s="17" t="s">
        <v>209</v>
      </c>
      <c r="B364" s="34"/>
      <c r="C364" s="34" t="s">
        <v>68</v>
      </c>
      <c r="D364" s="34" t="s">
        <v>98</v>
      </c>
      <c r="E364" s="34" t="s">
        <v>323</v>
      </c>
      <c r="F364" s="34" t="s">
        <v>210</v>
      </c>
      <c r="G364" s="39">
        <v>3</v>
      </c>
      <c r="I364" s="39">
        <f>G364+H364</f>
        <v>3</v>
      </c>
      <c r="K364" s="39">
        <f>I364+J364</f>
        <v>3</v>
      </c>
      <c r="L364" s="51"/>
      <c r="M364" s="39">
        <f>K364+L364</f>
        <v>3</v>
      </c>
      <c r="N364" s="51"/>
      <c r="O364" s="66">
        <f>M364+N364</f>
        <v>3</v>
      </c>
      <c r="Q364" s="66">
        <f>O364+P364</f>
        <v>3</v>
      </c>
    </row>
    <row r="365" spans="1:17" x14ac:dyDescent="0.25">
      <c r="A365" s="37" t="s">
        <v>225</v>
      </c>
      <c r="B365" s="34"/>
      <c r="C365" s="34" t="s">
        <v>68</v>
      </c>
      <c r="D365" s="34" t="s">
        <v>98</v>
      </c>
      <c r="E365" s="34" t="s">
        <v>323</v>
      </c>
      <c r="F365" s="34" t="s">
        <v>211</v>
      </c>
      <c r="G365" s="39">
        <v>6</v>
      </c>
      <c r="I365" s="39">
        <f>G365+H365</f>
        <v>6</v>
      </c>
      <c r="K365" s="39">
        <f>I365+J365</f>
        <v>6</v>
      </c>
      <c r="L365" s="51">
        <v>-1</v>
      </c>
      <c r="M365" s="39">
        <f>K365+L365</f>
        <v>5</v>
      </c>
      <c r="N365" s="51"/>
      <c r="O365" s="66">
        <f>M365+N365</f>
        <v>5</v>
      </c>
      <c r="Q365" s="66">
        <f>O365+P365</f>
        <v>5</v>
      </c>
    </row>
    <row r="366" spans="1:17" ht="31.5" x14ac:dyDescent="0.25">
      <c r="A366" s="17" t="s">
        <v>362</v>
      </c>
      <c r="B366" s="34"/>
      <c r="C366" s="34" t="s">
        <v>68</v>
      </c>
      <c r="D366" s="34" t="s">
        <v>98</v>
      </c>
      <c r="E366" s="34" t="s">
        <v>287</v>
      </c>
      <c r="F366" s="34"/>
      <c r="G366" s="39">
        <f>G367</f>
        <v>2022</v>
      </c>
      <c r="I366" s="39">
        <f>I367</f>
        <v>2022</v>
      </c>
      <c r="K366" s="39">
        <f>K367</f>
        <v>2022</v>
      </c>
      <c r="L366" s="51"/>
      <c r="M366" s="39">
        <f>M367</f>
        <v>2022</v>
      </c>
      <c r="N366" s="51"/>
      <c r="O366" s="66">
        <f>O367</f>
        <v>892.55</v>
      </c>
      <c r="Q366" s="66">
        <f>Q367</f>
        <v>892.55</v>
      </c>
    </row>
    <row r="367" spans="1:17" x14ac:dyDescent="0.25">
      <c r="A367" s="37" t="s">
        <v>225</v>
      </c>
      <c r="B367" s="34"/>
      <c r="C367" s="34" t="s">
        <v>68</v>
      </c>
      <c r="D367" s="34" t="s">
        <v>98</v>
      </c>
      <c r="E367" s="34" t="s">
        <v>287</v>
      </c>
      <c r="F367" s="34" t="s">
        <v>211</v>
      </c>
      <c r="G367" s="39">
        <v>2022</v>
      </c>
      <c r="I367" s="39">
        <f>G367+H367</f>
        <v>2022</v>
      </c>
      <c r="K367" s="39">
        <f>I367+J367</f>
        <v>2022</v>
      </c>
      <c r="L367" s="51"/>
      <c r="M367" s="39">
        <f>K367+L367</f>
        <v>2022</v>
      </c>
      <c r="N367" s="51">
        <v>-1129.45</v>
      </c>
      <c r="O367" s="66">
        <f>M367+N367</f>
        <v>892.55</v>
      </c>
      <c r="Q367" s="66">
        <f>O367+P367</f>
        <v>892.55</v>
      </c>
    </row>
    <row r="368" spans="1:17" ht="15.75" customHeight="1" x14ac:dyDescent="0.25">
      <c r="A368" s="36" t="s">
        <v>289</v>
      </c>
      <c r="B368" s="31" t="s">
        <v>8</v>
      </c>
      <c r="C368" s="31"/>
      <c r="D368" s="31"/>
      <c r="E368" s="31"/>
      <c r="F368" s="31"/>
      <c r="G368" s="40">
        <f>G369</f>
        <v>9699.1</v>
      </c>
      <c r="I368" s="40">
        <f>I369</f>
        <v>9699.1</v>
      </c>
      <c r="K368" s="40">
        <f>K369</f>
        <v>9699.1</v>
      </c>
      <c r="L368" s="51"/>
      <c r="M368" s="58">
        <f>M369</f>
        <v>9931.6</v>
      </c>
      <c r="N368" s="51"/>
      <c r="O368" s="65">
        <f>O369</f>
        <v>9931.6</v>
      </c>
      <c r="Q368" s="65">
        <f>Q369</f>
        <v>9931.6</v>
      </c>
    </row>
    <row r="369" spans="1:17" x14ac:dyDescent="0.25">
      <c r="A369" s="36" t="s">
        <v>129</v>
      </c>
      <c r="B369" s="31"/>
      <c r="C369" s="31" t="s">
        <v>15</v>
      </c>
      <c r="D369" s="31"/>
      <c r="E369" s="34"/>
      <c r="F369" s="34"/>
      <c r="G369" s="39">
        <f>G370</f>
        <v>9699.1</v>
      </c>
      <c r="I369" s="39">
        <f>I370</f>
        <v>9699.1</v>
      </c>
      <c r="K369" s="39">
        <f>K370</f>
        <v>9699.1</v>
      </c>
      <c r="L369" s="51"/>
      <c r="M369" s="39">
        <f>M370</f>
        <v>9931.6</v>
      </c>
      <c r="N369" s="51"/>
      <c r="O369" s="66">
        <f>O370</f>
        <v>9931.6</v>
      </c>
      <c r="Q369" s="66">
        <f>Q370</f>
        <v>9931.6</v>
      </c>
    </row>
    <row r="370" spans="1:17" x14ac:dyDescent="0.25">
      <c r="A370" s="36" t="s">
        <v>29</v>
      </c>
      <c r="B370" s="31"/>
      <c r="C370" s="31" t="s">
        <v>15</v>
      </c>
      <c r="D370" s="31" t="s">
        <v>186</v>
      </c>
      <c r="E370" s="34"/>
      <c r="F370" s="34"/>
      <c r="G370" s="39">
        <f>G371</f>
        <v>9699.1</v>
      </c>
      <c r="I370" s="39">
        <f>I371</f>
        <v>9699.1</v>
      </c>
      <c r="K370" s="39">
        <f>K371</f>
        <v>9699.1</v>
      </c>
      <c r="L370" s="51"/>
      <c r="M370" s="39">
        <f>M371</f>
        <v>9931.6</v>
      </c>
      <c r="N370" s="51"/>
      <c r="O370" s="66">
        <f>O371</f>
        <v>9931.6</v>
      </c>
      <c r="Q370" s="66">
        <f>Q371</f>
        <v>9931.6</v>
      </c>
    </row>
    <row r="371" spans="1:17" x14ac:dyDescent="0.25">
      <c r="A371" s="35" t="s">
        <v>262</v>
      </c>
      <c r="B371" s="34"/>
      <c r="C371" s="34" t="s">
        <v>15</v>
      </c>
      <c r="D371" s="34" t="s">
        <v>186</v>
      </c>
      <c r="E371" s="34" t="s">
        <v>261</v>
      </c>
      <c r="F371" s="34"/>
      <c r="G371" s="39">
        <f>G372+G374+G373+G375+G376</f>
        <v>9699.1</v>
      </c>
      <c r="I371" s="39">
        <f>I372+I374+I373+I375+I376</f>
        <v>9699.1</v>
      </c>
      <c r="K371" s="39">
        <f>K372+K374+K373+K375+K376</f>
        <v>9699.1</v>
      </c>
      <c r="L371" s="51"/>
      <c r="M371" s="39">
        <f>M372+M374+M373+M375+M376</f>
        <v>9931.6</v>
      </c>
      <c r="N371" s="51"/>
      <c r="O371" s="66">
        <f>O372+O374+O373+O375+O376</f>
        <v>9931.6</v>
      </c>
      <c r="Q371" s="66">
        <f>Q372+Q374+Q373+Q375+Q376</f>
        <v>9931.6</v>
      </c>
    </row>
    <row r="372" spans="1:17" x14ac:dyDescent="0.25">
      <c r="A372" s="17" t="s">
        <v>205</v>
      </c>
      <c r="B372" s="34"/>
      <c r="C372" s="34" t="s">
        <v>15</v>
      </c>
      <c r="D372" s="34" t="s">
        <v>186</v>
      </c>
      <c r="E372" s="34" t="s">
        <v>261</v>
      </c>
      <c r="F372" s="34" t="s">
        <v>395</v>
      </c>
      <c r="G372" s="39">
        <f>5162+1559+114.9</f>
        <v>6835.9</v>
      </c>
      <c r="I372" s="39">
        <f>G372+H372</f>
        <v>6835.9</v>
      </c>
      <c r="K372" s="39">
        <f>I372+J372</f>
        <v>6835.9</v>
      </c>
      <c r="L372" s="51"/>
      <c r="M372" s="39">
        <f>K372+L372</f>
        <v>6835.9</v>
      </c>
      <c r="N372" s="51"/>
      <c r="O372" s="66">
        <f>M372+N372</f>
        <v>6835.9</v>
      </c>
      <c r="Q372" s="66">
        <f>O372+P372</f>
        <v>6835.9</v>
      </c>
    </row>
    <row r="373" spans="1:17" ht="16.5" customHeight="1" x14ac:dyDescent="0.25">
      <c r="A373" s="17" t="s">
        <v>209</v>
      </c>
      <c r="B373" s="34"/>
      <c r="C373" s="34" t="s">
        <v>15</v>
      </c>
      <c r="D373" s="34" t="s">
        <v>186</v>
      </c>
      <c r="E373" s="34" t="s">
        <v>261</v>
      </c>
      <c r="F373" s="34" t="s">
        <v>210</v>
      </c>
      <c r="G373" s="39">
        <f>30+24.4+636</f>
        <v>690.4</v>
      </c>
      <c r="I373" s="39">
        <f>G373+H373</f>
        <v>690.4</v>
      </c>
      <c r="K373" s="39">
        <f>I373+J373</f>
        <v>690.4</v>
      </c>
      <c r="L373" s="51"/>
      <c r="M373" s="39">
        <f>K373+L373</f>
        <v>690.4</v>
      </c>
      <c r="N373" s="51"/>
      <c r="O373" s="66">
        <f>M373+N373</f>
        <v>690.4</v>
      </c>
      <c r="Q373" s="66">
        <f>O373+P373</f>
        <v>690.4</v>
      </c>
    </row>
    <row r="374" spans="1:17" x14ac:dyDescent="0.25">
      <c r="A374" s="37" t="s">
        <v>225</v>
      </c>
      <c r="B374" s="34"/>
      <c r="C374" s="34" t="s">
        <v>15</v>
      </c>
      <c r="D374" s="34" t="s">
        <v>186</v>
      </c>
      <c r="E374" s="34" t="s">
        <v>261</v>
      </c>
      <c r="F374" s="34" t="s">
        <v>211</v>
      </c>
      <c r="G374" s="39">
        <f>1605.3+143.2+124.3+260</f>
        <v>2132.8000000000002</v>
      </c>
      <c r="I374" s="39">
        <f>G374+H374</f>
        <v>2132.8000000000002</v>
      </c>
      <c r="K374" s="39">
        <f>I374+J374</f>
        <v>2132.8000000000002</v>
      </c>
      <c r="L374" s="51">
        <v>30</v>
      </c>
      <c r="M374" s="39">
        <f>K374+L374</f>
        <v>2162.8000000000002</v>
      </c>
      <c r="N374" s="51"/>
      <c r="O374" s="66">
        <f>M374+N374</f>
        <v>2162.8000000000002</v>
      </c>
      <c r="Q374" s="66">
        <f>O374+P374</f>
        <v>2162.8000000000002</v>
      </c>
    </row>
    <row r="375" spans="1:17" x14ac:dyDescent="0.25">
      <c r="A375" s="43" t="s">
        <v>319</v>
      </c>
      <c r="B375" s="34"/>
      <c r="C375" s="34" t="s">
        <v>15</v>
      </c>
      <c r="D375" s="34" t="s">
        <v>186</v>
      </c>
      <c r="E375" s="34" t="s">
        <v>261</v>
      </c>
      <c r="F375" s="34" t="s">
        <v>318</v>
      </c>
      <c r="G375" s="39"/>
      <c r="I375" s="39">
        <f>G375+H375</f>
        <v>0</v>
      </c>
      <c r="K375" s="39">
        <f>I375+J375</f>
        <v>0</v>
      </c>
      <c r="L375" s="51">
        <v>202.5</v>
      </c>
      <c r="M375" s="39">
        <f>K375+L375</f>
        <v>202.5</v>
      </c>
      <c r="N375" s="51"/>
      <c r="O375" s="66">
        <f>M375+N375</f>
        <v>202.5</v>
      </c>
      <c r="Q375" s="66">
        <f>O375+P375</f>
        <v>202.5</v>
      </c>
    </row>
    <row r="376" spans="1:17" x14ac:dyDescent="0.25">
      <c r="A376" s="43" t="s">
        <v>301</v>
      </c>
      <c r="B376" s="34"/>
      <c r="C376" s="34" t="s">
        <v>15</v>
      </c>
      <c r="D376" s="34" t="s">
        <v>186</v>
      </c>
      <c r="E376" s="34" t="s">
        <v>261</v>
      </c>
      <c r="F376" s="34" t="s">
        <v>300</v>
      </c>
      <c r="G376" s="39">
        <v>40</v>
      </c>
      <c r="I376" s="39">
        <f>G376+H376</f>
        <v>40</v>
      </c>
      <c r="K376" s="39">
        <f>I376+J376</f>
        <v>40</v>
      </c>
      <c r="L376" s="51"/>
      <c r="M376" s="39">
        <f>K376+L376</f>
        <v>40</v>
      </c>
      <c r="N376" s="51"/>
      <c r="O376" s="66">
        <f>M376+N376</f>
        <v>40</v>
      </c>
      <c r="Q376" s="66">
        <f>O376+P376</f>
        <v>40</v>
      </c>
    </row>
    <row r="377" spans="1:17" x14ac:dyDescent="0.25">
      <c r="A377" s="121" t="s">
        <v>364</v>
      </c>
      <c r="B377" s="31" t="s">
        <v>115</v>
      </c>
      <c r="C377" s="31"/>
      <c r="D377" s="31"/>
      <c r="E377" s="31"/>
      <c r="F377" s="31"/>
      <c r="G377" s="40">
        <f>G378</f>
        <v>3757.2</v>
      </c>
      <c r="I377" s="40">
        <f>I378</f>
        <v>3757.2</v>
      </c>
      <c r="K377" s="40">
        <f>K378</f>
        <v>3757.2</v>
      </c>
      <c r="L377" s="51"/>
      <c r="M377" s="58">
        <f>M378</f>
        <v>3795.3</v>
      </c>
      <c r="N377" s="51"/>
      <c r="O377" s="65">
        <f>O378</f>
        <v>3857.3</v>
      </c>
      <c r="Q377" s="65">
        <f>Q378</f>
        <v>3857.3</v>
      </c>
    </row>
    <row r="378" spans="1:17" x14ac:dyDescent="0.25">
      <c r="A378" s="30" t="s">
        <v>228</v>
      </c>
      <c r="B378" s="31"/>
      <c r="C378" s="31" t="s">
        <v>43</v>
      </c>
      <c r="D378" s="31"/>
      <c r="E378" s="31"/>
      <c r="F378" s="31"/>
      <c r="G378" s="40">
        <f>G379</f>
        <v>3757.2</v>
      </c>
      <c r="I378" s="40">
        <f>I379</f>
        <v>3757.2</v>
      </c>
      <c r="K378" s="40">
        <f>K379</f>
        <v>3757.2</v>
      </c>
      <c r="L378" s="51"/>
      <c r="M378" s="40">
        <f>M379</f>
        <v>3795.3</v>
      </c>
      <c r="N378" s="51"/>
      <c r="O378" s="65">
        <f>O379+O389</f>
        <v>3857.3</v>
      </c>
      <c r="Q378" s="65">
        <f>Q379+Q389</f>
        <v>3857.3</v>
      </c>
    </row>
    <row r="379" spans="1:17" x14ac:dyDescent="0.25">
      <c r="A379" s="30" t="s">
        <v>148</v>
      </c>
      <c r="B379" s="31"/>
      <c r="C379" s="31" t="s">
        <v>43</v>
      </c>
      <c r="D379" s="31" t="s">
        <v>15</v>
      </c>
      <c r="E379" s="31"/>
      <c r="F379" s="31"/>
      <c r="G379" s="40">
        <f>G380</f>
        <v>3757.2</v>
      </c>
      <c r="I379" s="40">
        <f>I380</f>
        <v>3757.2</v>
      </c>
      <c r="K379" s="40">
        <f>K380</f>
        <v>3757.2</v>
      </c>
      <c r="L379" s="51"/>
      <c r="M379" s="40">
        <f>M380</f>
        <v>3795.3</v>
      </c>
      <c r="N379" s="51"/>
      <c r="O379" s="65">
        <f>O380</f>
        <v>3795.3</v>
      </c>
      <c r="Q379" s="65">
        <f>Q380</f>
        <v>3795.3</v>
      </c>
    </row>
    <row r="380" spans="1:17" x14ac:dyDescent="0.25">
      <c r="A380" s="35" t="s">
        <v>116</v>
      </c>
      <c r="B380" s="34"/>
      <c r="C380" s="34" t="s">
        <v>43</v>
      </c>
      <c r="D380" s="34" t="s">
        <v>15</v>
      </c>
      <c r="E380" s="34" t="s">
        <v>296</v>
      </c>
      <c r="F380" s="34"/>
      <c r="G380" s="39">
        <f>G383</f>
        <v>3757.2</v>
      </c>
      <c r="I380" s="39">
        <f>I383</f>
        <v>3757.2</v>
      </c>
      <c r="K380" s="39">
        <f>K383</f>
        <v>3757.2</v>
      </c>
      <c r="L380" s="51"/>
      <c r="M380" s="39">
        <f>M383+M381</f>
        <v>3795.3</v>
      </c>
      <c r="N380" s="51"/>
      <c r="O380" s="66">
        <f>O383+O381</f>
        <v>3795.3</v>
      </c>
      <c r="Q380" s="66">
        <f>Q383+Q381</f>
        <v>3795.3</v>
      </c>
    </row>
    <row r="381" spans="1:17" ht="31.5" x14ac:dyDescent="0.25">
      <c r="A381" s="17" t="s">
        <v>507</v>
      </c>
      <c r="B381" s="34"/>
      <c r="C381" s="34" t="s">
        <v>43</v>
      </c>
      <c r="D381" s="34" t="s">
        <v>15</v>
      </c>
      <c r="E381" s="34" t="s">
        <v>506</v>
      </c>
      <c r="F381" s="34"/>
      <c r="G381" s="39"/>
      <c r="I381" s="39"/>
      <c r="K381" s="39"/>
      <c r="L381" s="51"/>
      <c r="M381" s="39">
        <f>M382</f>
        <v>38.1</v>
      </c>
      <c r="N381" s="51"/>
      <c r="O381" s="66">
        <f>O382</f>
        <v>38.1</v>
      </c>
      <c r="Q381" s="66">
        <f>Q382</f>
        <v>38.1</v>
      </c>
    </row>
    <row r="382" spans="1:17" x14ac:dyDescent="0.25">
      <c r="A382" s="17" t="s">
        <v>205</v>
      </c>
      <c r="B382" s="34"/>
      <c r="C382" s="34" t="s">
        <v>43</v>
      </c>
      <c r="D382" s="34" t="s">
        <v>15</v>
      </c>
      <c r="E382" s="34" t="s">
        <v>506</v>
      </c>
      <c r="F382" s="34" t="s">
        <v>395</v>
      </c>
      <c r="G382" s="39"/>
      <c r="I382" s="39"/>
      <c r="K382" s="39"/>
      <c r="L382" s="51">
        <v>38.1</v>
      </c>
      <c r="M382" s="39">
        <f>K382+L382</f>
        <v>38.1</v>
      </c>
      <c r="N382" s="51"/>
      <c r="O382" s="66">
        <f>M382+N382</f>
        <v>38.1</v>
      </c>
      <c r="Q382" s="66">
        <f>O382+P382</f>
        <v>38.1</v>
      </c>
    </row>
    <row r="383" spans="1:17" x14ac:dyDescent="0.25">
      <c r="A383" s="35" t="s">
        <v>52</v>
      </c>
      <c r="B383" s="34"/>
      <c r="C383" s="34" t="s">
        <v>43</v>
      </c>
      <c r="D383" s="34" t="s">
        <v>15</v>
      </c>
      <c r="E383" s="34" t="s">
        <v>292</v>
      </c>
      <c r="F383" s="34"/>
      <c r="G383" s="39">
        <f>SUM(G384:G388)</f>
        <v>3757.2</v>
      </c>
      <c r="I383" s="39">
        <f>SUM(I384:I388)</f>
        <v>3757.2</v>
      </c>
      <c r="K383" s="39">
        <f>SUM(K384:K388)</f>
        <v>3757.2</v>
      </c>
      <c r="L383" s="51"/>
      <c r="M383" s="39">
        <f>SUM(M384:M388)</f>
        <v>3757.2000000000003</v>
      </c>
      <c r="N383" s="51"/>
      <c r="O383" s="66">
        <f>SUM(O384:O388)</f>
        <v>3757.2000000000003</v>
      </c>
      <c r="Q383" s="66">
        <f>SUM(Q384:Q388)</f>
        <v>3757.2000000000003</v>
      </c>
    </row>
    <row r="384" spans="1:17" x14ac:dyDescent="0.25">
      <c r="A384" s="17" t="s">
        <v>205</v>
      </c>
      <c r="B384" s="34"/>
      <c r="C384" s="34" t="s">
        <v>43</v>
      </c>
      <c r="D384" s="34" t="s">
        <v>15</v>
      </c>
      <c r="E384" s="34" t="s">
        <v>292</v>
      </c>
      <c r="F384" s="34" t="s">
        <v>395</v>
      </c>
      <c r="G384" s="39">
        <f>2062.5+622.9</f>
        <v>2685.4</v>
      </c>
      <c r="I384" s="39">
        <f>G384+H384</f>
        <v>2685.4</v>
      </c>
      <c r="K384" s="39">
        <f>I384+J384</f>
        <v>2685.4</v>
      </c>
      <c r="L384" s="51"/>
      <c r="M384" s="39">
        <f>K384+L384</f>
        <v>2685.4</v>
      </c>
      <c r="N384" s="51"/>
      <c r="O384" s="66">
        <f>M384+N384</f>
        <v>2685.4</v>
      </c>
      <c r="Q384" s="66">
        <f>O384+P384</f>
        <v>2685.4</v>
      </c>
    </row>
    <row r="385" spans="1:17" ht="16.5" customHeight="1" x14ac:dyDescent="0.25">
      <c r="A385" s="17" t="s">
        <v>209</v>
      </c>
      <c r="B385" s="34"/>
      <c r="C385" s="34" t="s">
        <v>43</v>
      </c>
      <c r="D385" s="34" t="s">
        <v>15</v>
      </c>
      <c r="E385" s="34" t="s">
        <v>292</v>
      </c>
      <c r="F385" s="34" t="s">
        <v>210</v>
      </c>
      <c r="G385" s="39">
        <f>109.8+7.8+12+30.1</f>
        <v>159.69999999999999</v>
      </c>
      <c r="I385" s="39">
        <f>G385+H385</f>
        <v>159.69999999999999</v>
      </c>
      <c r="K385" s="39">
        <f>I385+J385</f>
        <v>159.69999999999999</v>
      </c>
      <c r="L385" s="51"/>
      <c r="M385" s="39">
        <f>K385+L385</f>
        <v>159.69999999999999</v>
      </c>
      <c r="N385" s="51"/>
      <c r="O385" s="66">
        <f>M385+N385</f>
        <v>159.69999999999999</v>
      </c>
      <c r="Q385" s="66">
        <f>O385+P385</f>
        <v>159.69999999999999</v>
      </c>
    </row>
    <row r="386" spans="1:17" x14ac:dyDescent="0.25">
      <c r="A386" s="37" t="s">
        <v>225</v>
      </c>
      <c r="B386" s="34"/>
      <c r="C386" s="34" t="s">
        <v>43</v>
      </c>
      <c r="D386" s="34" t="s">
        <v>15</v>
      </c>
      <c r="E386" s="34" t="s">
        <v>292</v>
      </c>
      <c r="F386" s="34" t="s">
        <v>211</v>
      </c>
      <c r="G386" s="39">
        <f>8+173.8+4.2+10+5.8+26+9.6+0.8+15.6+45+150+83.2+25+170+25+40.7+7+3.4+45+20+20+20+4</f>
        <v>912.1</v>
      </c>
      <c r="I386" s="39">
        <f>G386+H386</f>
        <v>912.1</v>
      </c>
      <c r="K386" s="39">
        <f>I386+J386</f>
        <v>912.1</v>
      </c>
      <c r="L386" s="51">
        <v>-83.2</v>
      </c>
      <c r="M386" s="39">
        <f>K386+L386</f>
        <v>828.9</v>
      </c>
      <c r="N386" s="51"/>
      <c r="O386" s="66">
        <f>M386+N386</f>
        <v>828.9</v>
      </c>
      <c r="Q386" s="66">
        <f>O386+P386</f>
        <v>828.9</v>
      </c>
    </row>
    <row r="387" spans="1:17" x14ac:dyDescent="0.25">
      <c r="A387" s="43" t="s">
        <v>319</v>
      </c>
      <c r="B387" s="34"/>
      <c r="C387" s="34" t="s">
        <v>43</v>
      </c>
      <c r="D387" s="34" t="s">
        <v>15</v>
      </c>
      <c r="E387" s="34" t="s">
        <v>292</v>
      </c>
      <c r="F387" s="34" t="s">
        <v>318</v>
      </c>
      <c r="G387" s="39"/>
      <c r="I387" s="39">
        <f>G387+H387</f>
        <v>0</v>
      </c>
      <c r="K387" s="39">
        <f>I387+J387</f>
        <v>0</v>
      </c>
      <c r="L387" s="51">
        <v>60.4</v>
      </c>
      <c r="M387" s="39">
        <f>K387+L387</f>
        <v>60.4</v>
      </c>
      <c r="N387" s="51"/>
      <c r="O387" s="66">
        <f>M387+N387</f>
        <v>60.4</v>
      </c>
      <c r="Q387" s="66">
        <f>O387+P387</f>
        <v>60.4</v>
      </c>
    </row>
    <row r="388" spans="1:17" x14ac:dyDescent="0.25">
      <c r="A388" s="43" t="s">
        <v>301</v>
      </c>
      <c r="B388" s="34"/>
      <c r="C388" s="34" t="s">
        <v>43</v>
      </c>
      <c r="D388" s="34" t="s">
        <v>15</v>
      </c>
      <c r="E388" s="34" t="s">
        <v>292</v>
      </c>
      <c r="F388" s="34" t="s">
        <v>300</v>
      </c>
      <c r="G388" s="39"/>
      <c r="I388" s="39">
        <f>G388+H388</f>
        <v>0</v>
      </c>
      <c r="K388" s="39">
        <f>I388+J388</f>
        <v>0</v>
      </c>
      <c r="L388" s="51">
        <v>22.8</v>
      </c>
      <c r="M388" s="39">
        <f>K388+L388</f>
        <v>22.8</v>
      </c>
      <c r="N388" s="51"/>
      <c r="O388" s="66">
        <f>M388+N388</f>
        <v>22.8</v>
      </c>
      <c r="Q388" s="66">
        <f>O388+P388</f>
        <v>22.8</v>
      </c>
    </row>
    <row r="389" spans="1:17" x14ac:dyDescent="0.25">
      <c r="A389" s="112" t="s">
        <v>588</v>
      </c>
      <c r="B389" s="34"/>
      <c r="C389" s="34" t="s">
        <v>43</v>
      </c>
      <c r="D389" s="34" t="s">
        <v>15</v>
      </c>
      <c r="E389" s="34" t="s">
        <v>589</v>
      </c>
      <c r="F389" s="34"/>
      <c r="G389" s="39"/>
      <c r="I389" s="39"/>
      <c r="K389" s="39"/>
      <c r="L389" s="51"/>
      <c r="M389" s="39"/>
      <c r="N389" s="51"/>
      <c r="O389" s="66">
        <f>O390</f>
        <v>62</v>
      </c>
      <c r="Q389" s="66">
        <f>Q390</f>
        <v>62</v>
      </c>
    </row>
    <row r="390" spans="1:17" x14ac:dyDescent="0.25">
      <c r="A390" s="37" t="s">
        <v>225</v>
      </c>
      <c r="B390" s="34"/>
      <c r="C390" s="34" t="s">
        <v>43</v>
      </c>
      <c r="D390" s="34" t="s">
        <v>15</v>
      </c>
      <c r="E390" s="34" t="s">
        <v>589</v>
      </c>
      <c r="F390" s="34" t="s">
        <v>211</v>
      </c>
      <c r="G390" s="39"/>
      <c r="I390" s="39"/>
      <c r="K390" s="39"/>
      <c r="L390" s="51"/>
      <c r="M390" s="39"/>
      <c r="N390" s="51">
        <v>62</v>
      </c>
      <c r="O390" s="66">
        <f>M390+N390</f>
        <v>62</v>
      </c>
      <c r="Q390" s="66">
        <f>O390+P390</f>
        <v>62</v>
      </c>
    </row>
    <row r="391" spans="1:17" ht="15" customHeight="1" x14ac:dyDescent="0.25">
      <c r="A391" s="36" t="s">
        <v>297</v>
      </c>
      <c r="B391" s="31" t="s">
        <v>87</v>
      </c>
      <c r="C391" s="31"/>
      <c r="D391" s="31"/>
      <c r="E391" s="31"/>
      <c r="F391" s="31"/>
      <c r="G391" s="40">
        <f>G392</f>
        <v>1708.9</v>
      </c>
      <c r="I391" s="40">
        <f>I392</f>
        <v>1708.9</v>
      </c>
      <c r="K391" s="40">
        <f>K392</f>
        <v>1708.9</v>
      </c>
      <c r="L391" s="51"/>
      <c r="M391" s="58">
        <f>M392</f>
        <v>1708.9</v>
      </c>
      <c r="N391" s="51"/>
      <c r="O391" s="65">
        <f>O392</f>
        <v>1708.9</v>
      </c>
      <c r="Q391" s="65">
        <f>Q392</f>
        <v>1708.9</v>
      </c>
    </row>
    <row r="392" spans="1:17" x14ac:dyDescent="0.25">
      <c r="A392" s="30" t="s">
        <v>228</v>
      </c>
      <c r="B392" s="31"/>
      <c r="C392" s="31" t="s">
        <v>43</v>
      </c>
      <c r="D392" s="31"/>
      <c r="E392" s="31"/>
      <c r="F392" s="31"/>
      <c r="G392" s="40">
        <f>G393</f>
        <v>1708.9</v>
      </c>
      <c r="I392" s="40">
        <f>I393</f>
        <v>1708.9</v>
      </c>
      <c r="K392" s="40">
        <f>K393</f>
        <v>1708.9</v>
      </c>
      <c r="L392" s="51"/>
      <c r="M392" s="40">
        <f>M393</f>
        <v>1708.9</v>
      </c>
      <c r="N392" s="51"/>
      <c r="O392" s="65">
        <f>O393</f>
        <v>1708.9</v>
      </c>
      <c r="Q392" s="65">
        <f>Q393</f>
        <v>1708.9</v>
      </c>
    </row>
    <row r="393" spans="1:17" x14ac:dyDescent="0.25">
      <c r="A393" s="30" t="s">
        <v>148</v>
      </c>
      <c r="B393" s="31"/>
      <c r="C393" s="31" t="s">
        <v>43</v>
      </c>
      <c r="D393" s="31" t="s">
        <v>15</v>
      </c>
      <c r="E393" s="31"/>
      <c r="F393" s="31"/>
      <c r="G393" s="40">
        <f>G394</f>
        <v>1708.9</v>
      </c>
      <c r="I393" s="40">
        <f>I394</f>
        <v>1708.9</v>
      </c>
      <c r="K393" s="40">
        <f>K394</f>
        <v>1708.9</v>
      </c>
      <c r="L393" s="51"/>
      <c r="M393" s="40">
        <f>M394</f>
        <v>1708.9</v>
      </c>
      <c r="N393" s="51"/>
      <c r="O393" s="65">
        <f>O394</f>
        <v>1708.9</v>
      </c>
      <c r="Q393" s="65">
        <f>Q394</f>
        <v>1708.9</v>
      </c>
    </row>
    <row r="394" spans="1:17" x14ac:dyDescent="0.25">
      <c r="A394" s="17" t="s">
        <v>294</v>
      </c>
      <c r="B394" s="34"/>
      <c r="C394" s="34" t="s">
        <v>43</v>
      </c>
      <c r="D394" s="34" t="s">
        <v>15</v>
      </c>
      <c r="E394" s="34" t="s">
        <v>295</v>
      </c>
      <c r="F394" s="34"/>
      <c r="G394" s="39">
        <f>G395</f>
        <v>1708.9</v>
      </c>
      <c r="I394" s="39">
        <f>I395</f>
        <v>1708.9</v>
      </c>
      <c r="K394" s="39">
        <f>K395</f>
        <v>1708.9</v>
      </c>
      <c r="L394" s="51"/>
      <c r="M394" s="39">
        <f>M395</f>
        <v>1708.9</v>
      </c>
      <c r="N394" s="51"/>
      <c r="O394" s="66">
        <f>O395</f>
        <v>1708.9</v>
      </c>
      <c r="Q394" s="66">
        <f>Q395</f>
        <v>1708.9</v>
      </c>
    </row>
    <row r="395" spans="1:17" x14ac:dyDescent="0.25">
      <c r="A395" s="35" t="s">
        <v>52</v>
      </c>
      <c r="B395" s="34"/>
      <c r="C395" s="34" t="s">
        <v>43</v>
      </c>
      <c r="D395" s="34" t="s">
        <v>15</v>
      </c>
      <c r="E395" s="34" t="s">
        <v>293</v>
      </c>
      <c r="F395" s="34"/>
      <c r="G395" s="39">
        <f>SUM(G396:G400)</f>
        <v>1708.9</v>
      </c>
      <c r="I395" s="39">
        <f>SUM(I396:I400)</f>
        <v>1708.9</v>
      </c>
      <c r="K395" s="39">
        <f>SUM(K396:K400)</f>
        <v>1708.9</v>
      </c>
      <c r="L395" s="51"/>
      <c r="M395" s="39">
        <f>SUM(M396:M400)</f>
        <v>1708.9</v>
      </c>
      <c r="N395" s="51"/>
      <c r="O395" s="66">
        <f>SUM(O396:O400)</f>
        <v>1708.9</v>
      </c>
      <c r="Q395" s="66">
        <f>SUM(Q396:Q400)</f>
        <v>1708.9</v>
      </c>
    </row>
    <row r="396" spans="1:17" x14ac:dyDescent="0.25">
      <c r="A396" s="17" t="s">
        <v>205</v>
      </c>
      <c r="B396" s="34"/>
      <c r="C396" s="34" t="s">
        <v>43</v>
      </c>
      <c r="D396" s="34" t="s">
        <v>15</v>
      </c>
      <c r="E396" s="34" t="s">
        <v>293</v>
      </c>
      <c r="F396" s="34" t="s">
        <v>395</v>
      </c>
      <c r="G396" s="39">
        <f>952.3+287.6</f>
        <v>1239.9000000000001</v>
      </c>
      <c r="I396" s="39">
        <f>G396+H396</f>
        <v>1239.9000000000001</v>
      </c>
      <c r="K396" s="39">
        <f>I396+J396</f>
        <v>1239.9000000000001</v>
      </c>
      <c r="L396" s="51"/>
      <c r="M396" s="39">
        <f>K396+L396</f>
        <v>1239.9000000000001</v>
      </c>
      <c r="N396" s="51"/>
      <c r="O396" s="66">
        <f>M396+N396</f>
        <v>1239.9000000000001</v>
      </c>
      <c r="Q396" s="66">
        <f>O396+P396</f>
        <v>1239.9000000000001</v>
      </c>
    </row>
    <row r="397" spans="1:17" ht="17.25" customHeight="1" x14ac:dyDescent="0.25">
      <c r="A397" s="17" t="s">
        <v>209</v>
      </c>
      <c r="B397" s="34"/>
      <c r="C397" s="34" t="s">
        <v>43</v>
      </c>
      <c r="D397" s="34" t="s">
        <v>15</v>
      </c>
      <c r="E397" s="34" t="s">
        <v>293</v>
      </c>
      <c r="F397" s="34" t="s">
        <v>210</v>
      </c>
      <c r="G397" s="39">
        <f>38.3</f>
        <v>38.299999999999997</v>
      </c>
      <c r="I397" s="39">
        <f>G397+H397</f>
        <v>38.299999999999997</v>
      </c>
      <c r="K397" s="39">
        <f>I397+J397</f>
        <v>38.299999999999997</v>
      </c>
      <c r="L397" s="51"/>
      <c r="M397" s="39">
        <f>K397+L397</f>
        <v>38.299999999999997</v>
      </c>
      <c r="N397" s="51"/>
      <c r="O397" s="66">
        <f>M397+N397</f>
        <v>38.299999999999997</v>
      </c>
      <c r="Q397" s="66">
        <f>O397+P397</f>
        <v>38.299999999999997</v>
      </c>
    </row>
    <row r="398" spans="1:17" x14ac:dyDescent="0.25">
      <c r="A398" s="37" t="s">
        <v>225</v>
      </c>
      <c r="B398" s="34"/>
      <c r="C398" s="34" t="s">
        <v>43</v>
      </c>
      <c r="D398" s="34" t="s">
        <v>15</v>
      </c>
      <c r="E398" s="34" t="s">
        <v>293</v>
      </c>
      <c r="F398" s="34" t="s">
        <v>211</v>
      </c>
      <c r="G398" s="39">
        <f>20+29.5+101.5+42+35+202.7</f>
        <v>430.7</v>
      </c>
      <c r="I398" s="39">
        <f>G398+H398</f>
        <v>430.7</v>
      </c>
      <c r="K398" s="39">
        <f>I398+J398</f>
        <v>430.7</v>
      </c>
      <c r="L398" s="51">
        <v>-22</v>
      </c>
      <c r="M398" s="39">
        <f>K398+L398</f>
        <v>408.7</v>
      </c>
      <c r="N398" s="51"/>
      <c r="O398" s="66">
        <f>M398+N398</f>
        <v>408.7</v>
      </c>
      <c r="Q398" s="66">
        <f>O398+P398</f>
        <v>408.7</v>
      </c>
    </row>
    <row r="399" spans="1:17" x14ac:dyDescent="0.25">
      <c r="A399" s="43" t="s">
        <v>319</v>
      </c>
      <c r="B399" s="34"/>
      <c r="C399" s="34" t="s">
        <v>43</v>
      </c>
      <c r="D399" s="34" t="s">
        <v>15</v>
      </c>
      <c r="E399" s="34" t="s">
        <v>293</v>
      </c>
      <c r="F399" s="34" t="s">
        <v>318</v>
      </c>
      <c r="G399" s="39"/>
      <c r="I399" s="39">
        <f>G399+H399</f>
        <v>0</v>
      </c>
      <c r="K399" s="39">
        <f>I399+J399</f>
        <v>0</v>
      </c>
      <c r="L399" s="51">
        <v>5</v>
      </c>
      <c r="M399" s="39">
        <f>K399+L399</f>
        <v>5</v>
      </c>
      <c r="N399" s="51"/>
      <c r="O399" s="66">
        <f>M399+N399</f>
        <v>5</v>
      </c>
      <c r="Q399" s="66">
        <f>O399+P399</f>
        <v>5</v>
      </c>
    </row>
    <row r="400" spans="1:17" x14ac:dyDescent="0.25">
      <c r="A400" s="43" t="s">
        <v>301</v>
      </c>
      <c r="B400" s="34"/>
      <c r="C400" s="34" t="s">
        <v>43</v>
      </c>
      <c r="D400" s="34" t="s">
        <v>15</v>
      </c>
      <c r="E400" s="34" t="s">
        <v>293</v>
      </c>
      <c r="F400" s="34" t="s">
        <v>300</v>
      </c>
      <c r="G400" s="39"/>
      <c r="I400" s="39">
        <f>G400+H400</f>
        <v>0</v>
      </c>
      <c r="K400" s="39">
        <f>I400+J400</f>
        <v>0</v>
      </c>
      <c r="L400" s="51">
        <v>17</v>
      </c>
      <c r="M400" s="39">
        <f>K400+L400</f>
        <v>17</v>
      </c>
      <c r="N400" s="51"/>
      <c r="O400" s="66">
        <f>M400+N400</f>
        <v>17</v>
      </c>
      <c r="Q400" s="66">
        <f>O400+P400</f>
        <v>17</v>
      </c>
    </row>
    <row r="401" spans="1:17" ht="30" customHeight="1" x14ac:dyDescent="0.25">
      <c r="A401" s="36" t="s">
        <v>343</v>
      </c>
      <c r="B401" s="31" t="s">
        <v>424</v>
      </c>
      <c r="C401" s="31"/>
      <c r="D401" s="31"/>
      <c r="E401" s="31"/>
      <c r="F401" s="31"/>
      <c r="G401" s="40">
        <f>G402+G478+G443</f>
        <v>25491.4</v>
      </c>
      <c r="I401" s="40">
        <f>I402+I478+I443</f>
        <v>30046.6</v>
      </c>
      <c r="K401" s="40">
        <f>K402+K478+K443</f>
        <v>24831.599999999999</v>
      </c>
      <c r="L401" s="51"/>
      <c r="M401" s="58">
        <f>M402+M478+M443</f>
        <v>90451.359999999986</v>
      </c>
      <c r="N401" s="51"/>
      <c r="O401" s="65">
        <f>O402+O478+O443</f>
        <v>281898.99</v>
      </c>
      <c r="Q401" s="65">
        <f>Q402+Q478+Q443</f>
        <v>281898.99</v>
      </c>
    </row>
    <row r="402" spans="1:17" x14ac:dyDescent="0.25">
      <c r="A402" s="33" t="s">
        <v>42</v>
      </c>
      <c r="B402" s="34"/>
      <c r="C402" s="31" t="s">
        <v>24</v>
      </c>
      <c r="D402" s="31"/>
      <c r="E402" s="31"/>
      <c r="F402" s="31"/>
      <c r="G402" s="40">
        <f>G420+G409+G415</f>
        <v>14491.4</v>
      </c>
      <c r="H402" s="52"/>
      <c r="I402" s="40">
        <f>I420+I409+I415</f>
        <v>18746.599999999999</v>
      </c>
      <c r="J402" s="52"/>
      <c r="K402" s="40">
        <f>K420+K409+K415</f>
        <v>18831.599999999999</v>
      </c>
      <c r="L402" s="51"/>
      <c r="M402" s="40">
        <f>M420+M409+M415+M403</f>
        <v>26145.66</v>
      </c>
      <c r="N402" s="51"/>
      <c r="O402" s="65">
        <f>O420+O409+O415+O403</f>
        <v>112470.54</v>
      </c>
      <c r="Q402" s="65">
        <f>Q420+Q409+Q415+Q403</f>
        <v>112470.54</v>
      </c>
    </row>
    <row r="403" spans="1:17" x14ac:dyDescent="0.25">
      <c r="A403" s="57" t="s">
        <v>174</v>
      </c>
      <c r="B403" s="34"/>
      <c r="C403" s="31" t="s">
        <v>24</v>
      </c>
      <c r="D403" s="31" t="s">
        <v>17</v>
      </c>
      <c r="E403" s="31"/>
      <c r="F403" s="31"/>
      <c r="G403" s="40"/>
      <c r="H403" s="52"/>
      <c r="I403" s="40"/>
      <c r="J403" s="52"/>
      <c r="K403" s="40"/>
      <c r="L403" s="52"/>
      <c r="M403" s="40">
        <f>M404+M406</f>
        <v>312.05</v>
      </c>
      <c r="N403" s="52"/>
      <c r="O403" s="65">
        <f>O404+O406</f>
        <v>312.05</v>
      </c>
      <c r="Q403" s="65">
        <f>Q404+Q406</f>
        <v>312.05</v>
      </c>
    </row>
    <row r="404" spans="1:17" ht="31.5" x14ac:dyDescent="0.25">
      <c r="A404" s="38" t="s">
        <v>638</v>
      </c>
      <c r="B404" s="34"/>
      <c r="C404" s="34" t="s">
        <v>24</v>
      </c>
      <c r="D404" s="34" t="s">
        <v>17</v>
      </c>
      <c r="E404" s="34" t="s">
        <v>520</v>
      </c>
      <c r="F404" s="34"/>
      <c r="G404" s="39"/>
      <c r="I404" s="39"/>
      <c r="K404" s="39"/>
      <c r="L404" s="51"/>
      <c r="M404" s="39">
        <f>M405</f>
        <v>278.17</v>
      </c>
      <c r="N404" s="51"/>
      <c r="O404" s="66">
        <f>O405</f>
        <v>278.17</v>
      </c>
      <c r="Q404" s="66">
        <f>Q405</f>
        <v>278.17</v>
      </c>
    </row>
    <row r="405" spans="1:17" x14ac:dyDescent="0.25">
      <c r="A405" s="37" t="s">
        <v>225</v>
      </c>
      <c r="B405" s="34"/>
      <c r="C405" s="34" t="s">
        <v>24</v>
      </c>
      <c r="D405" s="34" t="s">
        <v>17</v>
      </c>
      <c r="E405" s="34" t="s">
        <v>520</v>
      </c>
      <c r="F405" s="34" t="s">
        <v>211</v>
      </c>
      <c r="G405" s="39"/>
      <c r="I405" s="39"/>
      <c r="K405" s="39"/>
      <c r="L405" s="51">
        <v>278.17</v>
      </c>
      <c r="M405" s="39">
        <f>L405+K405</f>
        <v>278.17</v>
      </c>
      <c r="N405" s="51"/>
      <c r="O405" s="66">
        <f>N405+M405</f>
        <v>278.17</v>
      </c>
      <c r="Q405" s="66">
        <f>P405+O405</f>
        <v>278.17</v>
      </c>
    </row>
    <row r="406" spans="1:17" ht="33" customHeight="1" x14ac:dyDescent="0.25">
      <c r="A406" s="37" t="s">
        <v>522</v>
      </c>
      <c r="B406" s="34"/>
      <c r="C406" s="34" t="s">
        <v>24</v>
      </c>
      <c r="D406" s="34" t="s">
        <v>17</v>
      </c>
      <c r="E406" s="34" t="s">
        <v>521</v>
      </c>
      <c r="F406" s="34"/>
      <c r="G406" s="39"/>
      <c r="I406" s="39"/>
      <c r="K406" s="39"/>
      <c r="L406" s="51"/>
      <c r="M406" s="39">
        <f>M407+M408</f>
        <v>33.879999999999995</v>
      </c>
      <c r="N406" s="51"/>
      <c r="O406" s="66">
        <f>O407+O408</f>
        <v>33.879999999999995</v>
      </c>
      <c r="Q406" s="66">
        <f>Q407+Q408</f>
        <v>33.879999999999995</v>
      </c>
    </row>
    <row r="407" spans="1:17" x14ac:dyDescent="0.25">
      <c r="A407" s="37" t="s">
        <v>225</v>
      </c>
      <c r="B407" s="34"/>
      <c r="C407" s="34" t="s">
        <v>24</v>
      </c>
      <c r="D407" s="34" t="s">
        <v>17</v>
      </c>
      <c r="E407" s="34" t="s">
        <v>521</v>
      </c>
      <c r="F407" s="34" t="s">
        <v>211</v>
      </c>
      <c r="G407" s="39"/>
      <c r="I407" s="39"/>
      <c r="K407" s="39"/>
      <c r="L407" s="51">
        <v>11.82</v>
      </c>
      <c r="M407" s="39">
        <f>L407+K407</f>
        <v>11.82</v>
      </c>
      <c r="N407" s="51"/>
      <c r="O407" s="66">
        <f>N407+M407</f>
        <v>11.82</v>
      </c>
      <c r="Q407" s="66">
        <f>P407+O407</f>
        <v>11.82</v>
      </c>
    </row>
    <row r="408" spans="1:17" ht="19.5" customHeight="1" x14ac:dyDescent="0.25">
      <c r="A408" s="37" t="s">
        <v>303</v>
      </c>
      <c r="B408" s="34"/>
      <c r="C408" s="34" t="s">
        <v>24</v>
      </c>
      <c r="D408" s="34" t="s">
        <v>17</v>
      </c>
      <c r="E408" s="34" t="s">
        <v>521</v>
      </c>
      <c r="F408" s="34" t="s">
        <v>302</v>
      </c>
      <c r="G408" s="39"/>
      <c r="I408" s="39"/>
      <c r="K408" s="39"/>
      <c r="L408" s="51">
        <v>22.06</v>
      </c>
      <c r="M408" s="39">
        <f>L408+K408</f>
        <v>22.06</v>
      </c>
      <c r="N408" s="51"/>
      <c r="O408" s="66">
        <f>N408+M408</f>
        <v>22.06</v>
      </c>
      <c r="Q408" s="66">
        <f>P408+O408</f>
        <v>22.06</v>
      </c>
    </row>
    <row r="409" spans="1:17" x14ac:dyDescent="0.25">
      <c r="A409" s="57" t="s">
        <v>305</v>
      </c>
      <c r="B409" s="34"/>
      <c r="C409" s="31" t="s">
        <v>24</v>
      </c>
      <c r="D409" s="31" t="s">
        <v>63</v>
      </c>
      <c r="E409" s="31"/>
      <c r="F409" s="31"/>
      <c r="G409" s="40">
        <f>G411</f>
        <v>6900</v>
      </c>
      <c r="H409" s="52"/>
      <c r="I409" s="40">
        <f>I411</f>
        <v>10000</v>
      </c>
      <c r="J409" s="52"/>
      <c r="K409" s="40">
        <f>K411</f>
        <v>10085</v>
      </c>
      <c r="L409" s="51"/>
      <c r="M409" s="40">
        <f>M411</f>
        <v>14585</v>
      </c>
      <c r="N409" s="51"/>
      <c r="O409" s="65">
        <f>O411+O410</f>
        <v>24645.54</v>
      </c>
      <c r="Q409" s="65">
        <f>Q411+Q410</f>
        <v>24645.54</v>
      </c>
    </row>
    <row r="410" spans="1:17" ht="31.5" x14ac:dyDescent="0.25">
      <c r="A410" s="17" t="s">
        <v>593</v>
      </c>
      <c r="B410" s="34"/>
      <c r="C410" s="34" t="s">
        <v>24</v>
      </c>
      <c r="D410" s="34" t="s">
        <v>63</v>
      </c>
      <c r="E410" s="34" t="s">
        <v>594</v>
      </c>
      <c r="F410" s="34"/>
      <c r="G410" s="39"/>
      <c r="I410" s="39"/>
      <c r="K410" s="39"/>
      <c r="L410" s="51"/>
      <c r="M410" s="39"/>
      <c r="N410" s="51">
        <v>10060.540000000001</v>
      </c>
      <c r="O410" s="66">
        <f>M410+N410</f>
        <v>10060.540000000001</v>
      </c>
      <c r="Q410" s="66">
        <f>O410+P410</f>
        <v>10060.540000000001</v>
      </c>
    </row>
    <row r="411" spans="1:17" ht="32.25" customHeight="1" x14ac:dyDescent="0.25">
      <c r="A411" s="17" t="s">
        <v>593</v>
      </c>
      <c r="B411" s="34"/>
      <c r="C411" s="34" t="s">
        <v>24</v>
      </c>
      <c r="D411" s="34" t="s">
        <v>63</v>
      </c>
      <c r="E411" s="34" t="s">
        <v>306</v>
      </c>
      <c r="F411" s="34"/>
      <c r="G411" s="39">
        <f>G412+G413+G414</f>
        <v>6900</v>
      </c>
      <c r="I411" s="39">
        <f>I412+I413+I414</f>
        <v>10000</v>
      </c>
      <c r="K411" s="39">
        <f>K412+K413+K414</f>
        <v>10085</v>
      </c>
      <c r="L411" s="51"/>
      <c r="M411" s="39">
        <f>M412+M413+M414</f>
        <v>14585</v>
      </c>
      <c r="N411" s="51"/>
      <c r="O411" s="66">
        <f>O412+O413+O414</f>
        <v>14585</v>
      </c>
      <c r="Q411" s="66">
        <f>Q412+Q413+Q414</f>
        <v>14585</v>
      </c>
    </row>
    <row r="412" spans="1:17" ht="29.25" customHeight="1" x14ac:dyDescent="0.25">
      <c r="A412" s="38" t="s">
        <v>402</v>
      </c>
      <c r="B412" s="34"/>
      <c r="C412" s="34" t="s">
        <v>24</v>
      </c>
      <c r="D412" s="34" t="s">
        <v>63</v>
      </c>
      <c r="E412" s="34" t="s">
        <v>306</v>
      </c>
      <c r="F412" s="34" t="s">
        <v>211</v>
      </c>
      <c r="G412" s="39">
        <f>1500</f>
        <v>1500</v>
      </c>
      <c r="H412" s="51">
        <v>1000</v>
      </c>
      <c r="I412" s="39">
        <f>G412+H412</f>
        <v>2500</v>
      </c>
      <c r="J412" s="51">
        <v>85</v>
      </c>
      <c r="K412" s="39">
        <f>I412+J412</f>
        <v>2585</v>
      </c>
      <c r="L412" s="51"/>
      <c r="M412" s="39">
        <f>K412+L412</f>
        <v>2585</v>
      </c>
      <c r="N412" s="51"/>
      <c r="O412" s="66">
        <f>M412+N412</f>
        <v>2585</v>
      </c>
      <c r="Q412" s="66">
        <f>O412+P412</f>
        <v>2585</v>
      </c>
    </row>
    <row r="413" spans="1:17" ht="31.5" x14ac:dyDescent="0.25">
      <c r="A413" s="38" t="s">
        <v>403</v>
      </c>
      <c r="B413" s="34"/>
      <c r="C413" s="34" t="s">
        <v>24</v>
      </c>
      <c r="D413" s="34" t="s">
        <v>63</v>
      </c>
      <c r="E413" s="34" t="s">
        <v>306</v>
      </c>
      <c r="F413" s="34" t="s">
        <v>211</v>
      </c>
      <c r="G413" s="39">
        <f>2100</f>
        <v>2100</v>
      </c>
      <c r="H413" s="51">
        <v>2100</v>
      </c>
      <c r="I413" s="39">
        <f>G413+H413</f>
        <v>4200</v>
      </c>
      <c r="J413" s="51">
        <f>-2100+900</f>
        <v>-1200</v>
      </c>
      <c r="K413" s="39">
        <f>I413+J413</f>
        <v>3000</v>
      </c>
      <c r="L413" s="51"/>
      <c r="M413" s="39">
        <f>K413+L413</f>
        <v>3000</v>
      </c>
      <c r="N413" s="51"/>
      <c r="O413" s="66">
        <f>M413+N413</f>
        <v>3000</v>
      </c>
      <c r="Q413" s="66">
        <f>O413+P413</f>
        <v>3000</v>
      </c>
    </row>
    <row r="414" spans="1:17" ht="31.5" x14ac:dyDescent="0.25">
      <c r="A414" s="38" t="s">
        <v>404</v>
      </c>
      <c r="B414" s="34"/>
      <c r="C414" s="34" t="s">
        <v>24</v>
      </c>
      <c r="D414" s="34" t="s">
        <v>63</v>
      </c>
      <c r="E414" s="34" t="s">
        <v>306</v>
      </c>
      <c r="F414" s="34" t="s">
        <v>211</v>
      </c>
      <c r="G414" s="39">
        <v>3300</v>
      </c>
      <c r="I414" s="39">
        <f>G414+H414</f>
        <v>3300</v>
      </c>
      <c r="J414" s="51">
        <v>1200</v>
      </c>
      <c r="K414" s="39">
        <f>I414+J414</f>
        <v>4500</v>
      </c>
      <c r="L414" s="51">
        <v>4500</v>
      </c>
      <c r="M414" s="39">
        <f>K414+L414</f>
        <v>9000</v>
      </c>
      <c r="N414" s="51"/>
      <c r="O414" s="66">
        <f>M414+N414</f>
        <v>9000</v>
      </c>
      <c r="Q414" s="66">
        <f>O414+P414</f>
        <v>9000</v>
      </c>
    </row>
    <row r="415" spans="1:17" x14ac:dyDescent="0.25">
      <c r="A415" s="36" t="s">
        <v>221</v>
      </c>
      <c r="B415" s="31"/>
      <c r="C415" s="31" t="s">
        <v>24</v>
      </c>
      <c r="D415" s="31" t="s">
        <v>98</v>
      </c>
      <c r="E415" s="31"/>
      <c r="F415" s="31"/>
      <c r="G415" s="39">
        <f>G416</f>
        <v>3000</v>
      </c>
      <c r="I415" s="39">
        <f>I416</f>
        <v>3000</v>
      </c>
      <c r="K415" s="39">
        <f>K416</f>
        <v>3000</v>
      </c>
      <c r="L415" s="51"/>
      <c r="M415" s="39">
        <f>M416</f>
        <v>3000</v>
      </c>
      <c r="N415" s="51"/>
      <c r="O415" s="66">
        <f>O416</f>
        <v>79264.34</v>
      </c>
      <c r="Q415" s="66">
        <f>Q416</f>
        <v>79264.34</v>
      </c>
    </row>
    <row r="416" spans="1:17" ht="45.75" customHeight="1" x14ac:dyDescent="0.25">
      <c r="A416" s="38" t="s">
        <v>590</v>
      </c>
      <c r="B416" s="34"/>
      <c r="C416" s="34" t="s">
        <v>24</v>
      </c>
      <c r="D416" s="34" t="s">
        <v>98</v>
      </c>
      <c r="E416" s="34"/>
      <c r="F416" s="34"/>
      <c r="G416" s="39">
        <f>G419</f>
        <v>3000</v>
      </c>
      <c r="I416" s="39">
        <f>I419</f>
        <v>3000</v>
      </c>
      <c r="K416" s="39">
        <f>K419</f>
        <v>3000</v>
      </c>
      <c r="L416" s="51"/>
      <c r="M416" s="39">
        <f>M419</f>
        <v>3000</v>
      </c>
      <c r="N416" s="51"/>
      <c r="O416" s="66">
        <f>O417+O418+O419</f>
        <v>79264.34</v>
      </c>
      <c r="Q416" s="66">
        <f>Q417+Q418+Q419</f>
        <v>79264.34</v>
      </c>
    </row>
    <row r="417" spans="1:17" ht="45.75" customHeight="1" x14ac:dyDescent="0.25">
      <c r="A417" s="38" t="s">
        <v>591</v>
      </c>
      <c r="B417" s="34"/>
      <c r="C417" s="34" t="s">
        <v>24</v>
      </c>
      <c r="D417" s="34" t="s">
        <v>98</v>
      </c>
      <c r="E417" s="34" t="s">
        <v>534</v>
      </c>
      <c r="F417" s="34" t="s">
        <v>302</v>
      </c>
      <c r="G417" s="39"/>
      <c r="I417" s="39"/>
      <c r="K417" s="39"/>
      <c r="L417" s="51"/>
      <c r="M417" s="39"/>
      <c r="N417" s="51">
        <f>29119.1+19287.72</f>
        <v>48406.82</v>
      </c>
      <c r="O417" s="66">
        <f t="shared" ref="O417:Q418" si="9">M417+N417</f>
        <v>48406.82</v>
      </c>
      <c r="Q417" s="66">
        <f t="shared" si="9"/>
        <v>48406.82</v>
      </c>
    </row>
    <row r="418" spans="1:17" ht="47.25" customHeight="1" x14ac:dyDescent="0.25">
      <c r="A418" s="38" t="s">
        <v>592</v>
      </c>
      <c r="B418" s="34"/>
      <c r="C418" s="34" t="s">
        <v>24</v>
      </c>
      <c r="D418" s="34" t="s">
        <v>98</v>
      </c>
      <c r="E418" s="34" t="s">
        <v>534</v>
      </c>
      <c r="F418" s="34" t="s">
        <v>302</v>
      </c>
      <c r="G418" s="39"/>
      <c r="I418" s="39"/>
      <c r="K418" s="39"/>
      <c r="L418" s="51"/>
      <c r="M418" s="39"/>
      <c r="N418" s="51">
        <f>16617.4+11240.12</f>
        <v>27857.520000000004</v>
      </c>
      <c r="O418" s="66">
        <f t="shared" si="9"/>
        <v>27857.520000000004</v>
      </c>
      <c r="Q418" s="66">
        <f t="shared" si="9"/>
        <v>27857.520000000004</v>
      </c>
    </row>
    <row r="419" spans="1:17" ht="31.5" x14ac:dyDescent="0.25">
      <c r="A419" s="38" t="s">
        <v>405</v>
      </c>
      <c r="B419" s="34"/>
      <c r="C419" s="34" t="s">
        <v>24</v>
      </c>
      <c r="D419" s="34" t="s">
        <v>98</v>
      </c>
      <c r="E419" s="34" t="s">
        <v>406</v>
      </c>
      <c r="F419" s="34" t="s">
        <v>302</v>
      </c>
      <c r="G419" s="39">
        <v>3000</v>
      </c>
      <c r="I419" s="39">
        <f>G419+H419</f>
        <v>3000</v>
      </c>
      <c r="K419" s="39">
        <f>I419+J419</f>
        <v>3000</v>
      </c>
      <c r="L419" s="51"/>
      <c r="M419" s="39">
        <f>K419+L419</f>
        <v>3000</v>
      </c>
      <c r="N419" s="51"/>
      <c r="O419" s="66">
        <f>M419+N419</f>
        <v>3000</v>
      </c>
      <c r="Q419" s="66">
        <f>O419+P419</f>
        <v>3000</v>
      </c>
    </row>
    <row r="420" spans="1:17" x14ac:dyDescent="0.25">
      <c r="A420" s="30" t="s">
        <v>166</v>
      </c>
      <c r="B420" s="31"/>
      <c r="C420" s="31" t="s">
        <v>24</v>
      </c>
      <c r="D420" s="31" t="s">
        <v>27</v>
      </c>
      <c r="E420" s="31"/>
      <c r="F420" s="31"/>
      <c r="G420" s="40">
        <f>G421+G430</f>
        <v>4591.3999999999996</v>
      </c>
      <c r="H420" s="52"/>
      <c r="I420" s="40">
        <f>I421+I430</f>
        <v>5746.6</v>
      </c>
      <c r="J420" s="52"/>
      <c r="K420" s="40">
        <f>K421+K430</f>
        <v>5746.6</v>
      </c>
      <c r="L420" s="51"/>
      <c r="M420" s="40">
        <f>M421+M428+M430</f>
        <v>8248.61</v>
      </c>
      <c r="N420" s="51"/>
      <c r="O420" s="65">
        <f>O421+O428+O430</f>
        <v>8248.61</v>
      </c>
      <c r="Q420" s="65">
        <f>Q421+Q428+Q430</f>
        <v>8248.61</v>
      </c>
    </row>
    <row r="421" spans="1:17" ht="15.75" customHeight="1" x14ac:dyDescent="0.25">
      <c r="A421" s="17" t="s">
        <v>36</v>
      </c>
      <c r="B421" s="34"/>
      <c r="C421" s="34" t="s">
        <v>24</v>
      </c>
      <c r="D421" s="34" t="s">
        <v>27</v>
      </c>
      <c r="E421" s="34" t="s">
        <v>298</v>
      </c>
      <c r="F421" s="34"/>
      <c r="G421" s="39">
        <f>G422</f>
        <v>3534.6</v>
      </c>
      <c r="I421" s="39">
        <f>I422</f>
        <v>3534.6</v>
      </c>
      <c r="K421" s="39">
        <f>K422</f>
        <v>3534.6</v>
      </c>
      <c r="L421" s="51"/>
      <c r="M421" s="39">
        <f>M422</f>
        <v>3534.6</v>
      </c>
      <c r="N421" s="51"/>
      <c r="O421" s="66">
        <f>O422</f>
        <v>3534.6</v>
      </c>
      <c r="Q421" s="66">
        <f>Q422</f>
        <v>3534.6</v>
      </c>
    </row>
    <row r="422" spans="1:17" x14ac:dyDescent="0.25">
      <c r="A422" s="35" t="s">
        <v>52</v>
      </c>
      <c r="B422" s="34"/>
      <c r="C422" s="34" t="s">
        <v>24</v>
      </c>
      <c r="D422" s="34" t="s">
        <v>27</v>
      </c>
      <c r="E422" s="34" t="s">
        <v>299</v>
      </c>
      <c r="F422" s="34"/>
      <c r="G422" s="39">
        <f>SUM(G423:G427)</f>
        <v>3534.6</v>
      </c>
      <c r="I422" s="39">
        <f>SUM(I423:I427)</f>
        <v>3534.6</v>
      </c>
      <c r="K422" s="39">
        <f>SUM(K423:K427)</f>
        <v>3534.6</v>
      </c>
      <c r="L422" s="51"/>
      <c r="M422" s="39">
        <f>SUM(M423:M427)</f>
        <v>3534.6</v>
      </c>
      <c r="N422" s="51"/>
      <c r="O422" s="66">
        <f>SUM(O423:O427)</f>
        <v>3534.6</v>
      </c>
      <c r="Q422" s="66">
        <f>SUM(Q423:Q427)</f>
        <v>3534.6</v>
      </c>
    </row>
    <row r="423" spans="1:17" x14ac:dyDescent="0.25">
      <c r="A423" s="17" t="s">
        <v>205</v>
      </c>
      <c r="B423" s="34"/>
      <c r="C423" s="34" t="s">
        <v>24</v>
      </c>
      <c r="D423" s="34" t="s">
        <v>27</v>
      </c>
      <c r="E423" s="34" t="s">
        <v>299</v>
      </c>
      <c r="F423" s="34" t="s">
        <v>395</v>
      </c>
      <c r="G423" s="39">
        <f>2314.5+699</f>
        <v>3013.5</v>
      </c>
      <c r="I423" s="39">
        <f>G423+H423</f>
        <v>3013.5</v>
      </c>
      <c r="K423" s="39">
        <f>I423+J423</f>
        <v>3013.5</v>
      </c>
      <c r="L423" s="51"/>
      <c r="M423" s="39">
        <f>K423+L423</f>
        <v>3013.5</v>
      </c>
      <c r="N423" s="51"/>
      <c r="O423" s="66">
        <f>M423+N423</f>
        <v>3013.5</v>
      </c>
      <c r="Q423" s="66">
        <f>O423+P423</f>
        <v>3013.5</v>
      </c>
    </row>
    <row r="424" spans="1:17" x14ac:dyDescent="0.25">
      <c r="A424" s="17" t="s">
        <v>207</v>
      </c>
      <c r="B424" s="34"/>
      <c r="C424" s="34" t="s">
        <v>24</v>
      </c>
      <c r="D424" s="34" t="s">
        <v>27</v>
      </c>
      <c r="E424" s="34" t="s">
        <v>299</v>
      </c>
      <c r="F424" s="34" t="s">
        <v>396</v>
      </c>
      <c r="G424" s="39">
        <v>116.6</v>
      </c>
      <c r="I424" s="39">
        <f>G424+H424</f>
        <v>116.6</v>
      </c>
      <c r="K424" s="39">
        <f>I424+J424</f>
        <v>116.6</v>
      </c>
      <c r="L424" s="51"/>
      <c r="M424" s="39">
        <f>K424+L424</f>
        <v>116.6</v>
      </c>
      <c r="N424" s="51"/>
      <c r="O424" s="66">
        <f>M424+N424</f>
        <v>116.6</v>
      </c>
      <c r="Q424" s="66">
        <f>O424+P424</f>
        <v>116.6</v>
      </c>
    </row>
    <row r="425" spans="1:17" ht="15.75" customHeight="1" x14ac:dyDescent="0.25">
      <c r="A425" s="17" t="s">
        <v>209</v>
      </c>
      <c r="B425" s="34"/>
      <c r="C425" s="34" t="s">
        <v>24</v>
      </c>
      <c r="D425" s="34" t="s">
        <v>27</v>
      </c>
      <c r="E425" s="34" t="s">
        <v>299</v>
      </c>
      <c r="F425" s="34" t="s">
        <v>210</v>
      </c>
      <c r="G425" s="39">
        <f>22</f>
        <v>22</v>
      </c>
      <c r="I425" s="39">
        <f>G425+H425</f>
        <v>22</v>
      </c>
      <c r="K425" s="39">
        <f>I425+J425</f>
        <v>22</v>
      </c>
      <c r="L425" s="51"/>
      <c r="M425" s="39">
        <f>K425+L425</f>
        <v>22</v>
      </c>
      <c r="N425" s="51"/>
      <c r="O425" s="66">
        <f>M425+N425</f>
        <v>22</v>
      </c>
      <c r="Q425" s="66">
        <f>O425+P425</f>
        <v>22</v>
      </c>
    </row>
    <row r="426" spans="1:17" x14ac:dyDescent="0.25">
      <c r="A426" s="37" t="s">
        <v>225</v>
      </c>
      <c r="B426" s="34"/>
      <c r="C426" s="34" t="s">
        <v>24</v>
      </c>
      <c r="D426" s="34" t="s">
        <v>27</v>
      </c>
      <c r="E426" s="34" t="s">
        <v>299</v>
      </c>
      <c r="F426" s="34" t="s">
        <v>211</v>
      </c>
      <c r="G426" s="39">
        <f>9+27+147.7+82+16+93.8</f>
        <v>375.5</v>
      </c>
      <c r="I426" s="39">
        <f>G426+H426</f>
        <v>375.5</v>
      </c>
      <c r="K426" s="39">
        <f>I426+J426</f>
        <v>375.5</v>
      </c>
      <c r="L426" s="51"/>
      <c r="M426" s="39">
        <f>K426+L426</f>
        <v>375.5</v>
      </c>
      <c r="N426" s="51"/>
      <c r="O426" s="66">
        <f>M426+N426</f>
        <v>375.5</v>
      </c>
      <c r="Q426" s="66">
        <f>O426+P426</f>
        <v>375.5</v>
      </c>
    </row>
    <row r="427" spans="1:17" x14ac:dyDescent="0.25">
      <c r="A427" s="35" t="s">
        <v>301</v>
      </c>
      <c r="B427" s="34"/>
      <c r="C427" s="34" t="s">
        <v>24</v>
      </c>
      <c r="D427" s="34" t="s">
        <v>27</v>
      </c>
      <c r="E427" s="34" t="s">
        <v>299</v>
      </c>
      <c r="F427" s="34" t="s">
        <v>300</v>
      </c>
      <c r="G427" s="39">
        <f>6+1</f>
        <v>7</v>
      </c>
      <c r="I427" s="39">
        <f>G427+H427</f>
        <v>7</v>
      </c>
      <c r="K427" s="39">
        <f>I427+J427</f>
        <v>7</v>
      </c>
      <c r="L427" s="51"/>
      <c r="M427" s="39">
        <f>K427+L427</f>
        <v>7</v>
      </c>
      <c r="N427" s="51"/>
      <c r="O427" s="66">
        <f>M427+N427</f>
        <v>7</v>
      </c>
      <c r="Q427" s="66">
        <f>O427+P427</f>
        <v>7</v>
      </c>
    </row>
    <row r="428" spans="1:17" ht="31.5" x14ac:dyDescent="0.25">
      <c r="A428" s="17" t="s">
        <v>547</v>
      </c>
      <c r="B428" s="34"/>
      <c r="C428" s="34" t="s">
        <v>24</v>
      </c>
      <c r="D428" s="34" t="s">
        <v>27</v>
      </c>
      <c r="E428" s="34" t="s">
        <v>523</v>
      </c>
      <c r="F428" s="34"/>
      <c r="G428" s="39"/>
      <c r="I428" s="39"/>
      <c r="K428" s="39"/>
      <c r="L428" s="51"/>
      <c r="M428" s="39">
        <f>M429</f>
        <v>3690.51</v>
      </c>
      <c r="N428" s="51"/>
      <c r="O428" s="66">
        <f>O429</f>
        <v>3690.51</v>
      </c>
      <c r="Q428" s="66">
        <f>Q429</f>
        <v>3690.51</v>
      </c>
    </row>
    <row r="429" spans="1:17" x14ac:dyDescent="0.25">
      <c r="A429" s="37" t="s">
        <v>225</v>
      </c>
      <c r="B429" s="34"/>
      <c r="C429" s="34" t="s">
        <v>24</v>
      </c>
      <c r="D429" s="34" t="s">
        <v>27</v>
      </c>
      <c r="E429" s="34" t="s">
        <v>523</v>
      </c>
      <c r="F429" s="34" t="s">
        <v>211</v>
      </c>
      <c r="G429" s="39"/>
      <c r="I429" s="39"/>
      <c r="K429" s="39"/>
      <c r="L429" s="51">
        <v>3690.51</v>
      </c>
      <c r="M429" s="39">
        <f>K429+L429</f>
        <v>3690.51</v>
      </c>
      <c r="N429" s="51"/>
      <c r="O429" s="66">
        <f>M429+N429</f>
        <v>3690.51</v>
      </c>
      <c r="Q429" s="66">
        <f>O429+P429</f>
        <v>3690.51</v>
      </c>
    </row>
    <row r="430" spans="1:17" x14ac:dyDescent="0.25">
      <c r="A430" s="17" t="s">
        <v>530</v>
      </c>
      <c r="B430" s="34"/>
      <c r="C430" s="34" t="s">
        <v>24</v>
      </c>
      <c r="D430" s="34" t="s">
        <v>27</v>
      </c>
      <c r="E430" s="34" t="s">
        <v>284</v>
      </c>
      <c r="F430" s="34"/>
      <c r="G430" s="39">
        <f>G431+G435+G437+G439</f>
        <v>1056.8000000000002</v>
      </c>
      <c r="I430" s="39">
        <f>I431+I435+I437+I439</f>
        <v>2212</v>
      </c>
      <c r="K430" s="39">
        <f>K431+K435+K437+K439</f>
        <v>2212</v>
      </c>
      <c r="L430" s="51"/>
      <c r="M430" s="39">
        <f>M431+M435+M437+M439+M441+M433</f>
        <v>1023.5</v>
      </c>
      <c r="N430" s="51"/>
      <c r="O430" s="66">
        <f>O431+O435+O437+O439+O441+O433</f>
        <v>1023.5</v>
      </c>
      <c r="Q430" s="66">
        <f>Q431+Q435+Q437+Q439+Q441+Q433</f>
        <v>1023.5</v>
      </c>
    </row>
    <row r="431" spans="1:17" ht="18.75" hidden="1" customHeight="1" x14ac:dyDescent="0.25">
      <c r="A431" s="17" t="s">
        <v>407</v>
      </c>
      <c r="B431" s="34"/>
      <c r="C431" s="34" t="s">
        <v>24</v>
      </c>
      <c r="D431" s="34" t="s">
        <v>27</v>
      </c>
      <c r="E431" s="34" t="s">
        <v>409</v>
      </c>
      <c r="F431" s="34"/>
      <c r="G431" s="39">
        <f>G432</f>
        <v>232.6</v>
      </c>
      <c r="I431" s="39">
        <f>I432</f>
        <v>465.2</v>
      </c>
      <c r="K431" s="39">
        <f>K432</f>
        <v>465.2</v>
      </c>
      <c r="L431" s="51"/>
      <c r="M431" s="39">
        <f>M432</f>
        <v>0</v>
      </c>
      <c r="N431" s="51"/>
      <c r="O431" s="66">
        <f>O432</f>
        <v>0</v>
      </c>
      <c r="Q431" s="66">
        <f>Q432</f>
        <v>0</v>
      </c>
    </row>
    <row r="432" spans="1:17" ht="29.25" hidden="1" customHeight="1" x14ac:dyDescent="0.25">
      <c r="A432" s="37" t="s">
        <v>405</v>
      </c>
      <c r="B432" s="34"/>
      <c r="C432" s="34" t="s">
        <v>24</v>
      </c>
      <c r="D432" s="34" t="s">
        <v>27</v>
      </c>
      <c r="E432" s="34" t="s">
        <v>409</v>
      </c>
      <c r="F432" s="34" t="s">
        <v>302</v>
      </c>
      <c r="G432" s="39">
        <f>232.6</f>
        <v>232.6</v>
      </c>
      <c r="H432" s="51">
        <v>232.6</v>
      </c>
      <c r="I432" s="39">
        <f>G432+H432</f>
        <v>465.2</v>
      </c>
      <c r="K432" s="39">
        <f>I432+J432</f>
        <v>465.2</v>
      </c>
      <c r="L432" s="51">
        <v>-465.2</v>
      </c>
      <c r="M432" s="39">
        <f>K432+L432</f>
        <v>0</v>
      </c>
      <c r="N432" s="51"/>
      <c r="O432" s="66">
        <f>M432+N432</f>
        <v>0</v>
      </c>
      <c r="Q432" s="66">
        <f>O432+P432</f>
        <v>0</v>
      </c>
    </row>
    <row r="433" spans="1:17" ht="29.25" customHeight="1" x14ac:dyDescent="0.25">
      <c r="A433" s="17" t="s">
        <v>539</v>
      </c>
      <c r="B433" s="34"/>
      <c r="C433" s="34" t="s">
        <v>24</v>
      </c>
      <c r="D433" s="34" t="s">
        <v>27</v>
      </c>
      <c r="E433" s="34" t="s">
        <v>595</v>
      </c>
      <c r="F433" s="34"/>
      <c r="G433" s="39"/>
      <c r="I433" s="39"/>
      <c r="K433" s="39"/>
      <c r="L433" s="51"/>
      <c r="M433" s="39">
        <f>M434</f>
        <v>16.53</v>
      </c>
      <c r="N433" s="51"/>
      <c r="O433" s="66">
        <f>O434</f>
        <v>16.53</v>
      </c>
      <c r="Q433" s="66">
        <f>Q434</f>
        <v>16.53</v>
      </c>
    </row>
    <row r="434" spans="1:17" ht="29.25" customHeight="1" x14ac:dyDescent="0.25">
      <c r="A434" s="37" t="s">
        <v>540</v>
      </c>
      <c r="B434" s="34"/>
      <c r="C434" s="34" t="s">
        <v>24</v>
      </c>
      <c r="D434" s="34" t="s">
        <v>27</v>
      </c>
      <c r="E434" s="34" t="s">
        <v>595</v>
      </c>
      <c r="F434" s="34" t="s">
        <v>302</v>
      </c>
      <c r="G434" s="39"/>
      <c r="I434" s="39"/>
      <c r="K434" s="39"/>
      <c r="L434" s="51">
        <v>16.53</v>
      </c>
      <c r="M434" s="39">
        <f>K434+L434</f>
        <v>16.53</v>
      </c>
      <c r="N434" s="51"/>
      <c r="O434" s="66">
        <f>M434+N434</f>
        <v>16.53</v>
      </c>
      <c r="Q434" s="66">
        <f>O434+P434</f>
        <v>16.53</v>
      </c>
    </row>
    <row r="435" spans="1:17" ht="19.5" hidden="1" customHeight="1" x14ac:dyDescent="0.25">
      <c r="A435" s="17" t="s">
        <v>408</v>
      </c>
      <c r="B435" s="34"/>
      <c r="C435" s="34" t="s">
        <v>24</v>
      </c>
      <c r="D435" s="34" t="s">
        <v>27</v>
      </c>
      <c r="E435" s="34" t="s">
        <v>538</v>
      </c>
      <c r="F435" s="34"/>
      <c r="G435" s="39">
        <f>G436</f>
        <v>316.60000000000002</v>
      </c>
      <c r="I435" s="39">
        <f>I436</f>
        <v>633.20000000000005</v>
      </c>
      <c r="K435" s="39">
        <f>K436</f>
        <v>633.20000000000005</v>
      </c>
      <c r="L435" s="51"/>
      <c r="M435" s="39">
        <f>M436</f>
        <v>0</v>
      </c>
      <c r="N435" s="51"/>
      <c r="O435" s="66">
        <f>O436</f>
        <v>0</v>
      </c>
      <c r="Q435" s="66">
        <f>Q436</f>
        <v>0</v>
      </c>
    </row>
    <row r="436" spans="1:17" ht="29.25" hidden="1" customHeight="1" x14ac:dyDescent="0.25">
      <c r="A436" s="37" t="s">
        <v>405</v>
      </c>
      <c r="B436" s="34"/>
      <c r="C436" s="34" t="s">
        <v>24</v>
      </c>
      <c r="D436" s="34" t="s">
        <v>27</v>
      </c>
      <c r="E436" s="34" t="s">
        <v>538</v>
      </c>
      <c r="F436" s="34" t="s">
        <v>302</v>
      </c>
      <c r="G436" s="39">
        <f>316.6</f>
        <v>316.60000000000002</v>
      </c>
      <c r="H436" s="51">
        <v>316.60000000000002</v>
      </c>
      <c r="I436" s="39">
        <f>G436+H436</f>
        <v>633.20000000000005</v>
      </c>
      <c r="K436" s="39">
        <f>I436+J436</f>
        <v>633.20000000000005</v>
      </c>
      <c r="L436" s="51">
        <v>-633.20000000000005</v>
      </c>
      <c r="M436" s="39">
        <f>K436+L436</f>
        <v>0</v>
      </c>
      <c r="N436" s="51"/>
      <c r="O436" s="66">
        <f>M436+N436</f>
        <v>0</v>
      </c>
      <c r="Q436" s="66">
        <f>O436+P436</f>
        <v>0</v>
      </c>
    </row>
    <row r="437" spans="1:17" ht="77.25" hidden="1" customHeight="1" x14ac:dyDescent="0.25">
      <c r="A437" s="46" t="s">
        <v>411</v>
      </c>
      <c r="B437" s="34"/>
      <c r="C437" s="34" t="s">
        <v>24</v>
      </c>
      <c r="D437" s="34" t="s">
        <v>27</v>
      </c>
      <c r="E437" s="34" t="s">
        <v>412</v>
      </c>
      <c r="F437" s="34"/>
      <c r="G437" s="39">
        <f>G438</f>
        <v>7.6</v>
      </c>
      <c r="I437" s="39">
        <f>I438</f>
        <v>113.6</v>
      </c>
      <c r="K437" s="39">
        <f>K438</f>
        <v>113.6</v>
      </c>
      <c r="L437" s="51"/>
      <c r="M437" s="39">
        <f>M438</f>
        <v>0</v>
      </c>
      <c r="N437" s="51"/>
      <c r="O437" s="66">
        <f>O438</f>
        <v>0</v>
      </c>
      <c r="Q437" s="66">
        <f>Q438</f>
        <v>0</v>
      </c>
    </row>
    <row r="438" spans="1:17" ht="18.75" hidden="1" customHeight="1" x14ac:dyDescent="0.25">
      <c r="A438" s="37" t="s">
        <v>416</v>
      </c>
      <c r="B438" s="34"/>
      <c r="C438" s="34" t="s">
        <v>24</v>
      </c>
      <c r="D438" s="34" t="s">
        <v>27</v>
      </c>
      <c r="E438" s="34" t="s">
        <v>412</v>
      </c>
      <c r="F438" s="34" t="s">
        <v>302</v>
      </c>
      <c r="G438" s="39">
        <f>7.6</f>
        <v>7.6</v>
      </c>
      <c r="H438" s="51">
        <f>49.2+56.8</f>
        <v>106</v>
      </c>
      <c r="I438" s="39">
        <f>G438+H438</f>
        <v>113.6</v>
      </c>
      <c r="K438" s="39">
        <f>I438+J438</f>
        <v>113.6</v>
      </c>
      <c r="L438" s="51">
        <v>-113.6</v>
      </c>
      <c r="M438" s="39">
        <f>K438+L438</f>
        <v>0</v>
      </c>
      <c r="N438" s="51"/>
      <c r="O438" s="66">
        <f>M438+N438</f>
        <v>0</v>
      </c>
      <c r="Q438" s="66">
        <f>O438+P438</f>
        <v>0</v>
      </c>
    </row>
    <row r="439" spans="1:17" ht="15" customHeight="1" x14ac:dyDescent="0.25">
      <c r="A439" s="17" t="s">
        <v>413</v>
      </c>
      <c r="B439" s="34"/>
      <c r="C439" s="34" t="s">
        <v>24</v>
      </c>
      <c r="D439" s="34" t="s">
        <v>27</v>
      </c>
      <c r="E439" s="34" t="s">
        <v>414</v>
      </c>
      <c r="F439" s="34"/>
      <c r="G439" s="39">
        <f>G440</f>
        <v>500</v>
      </c>
      <c r="I439" s="39">
        <f>I440</f>
        <v>1000</v>
      </c>
      <c r="K439" s="39">
        <f>K440</f>
        <v>1000</v>
      </c>
      <c r="L439" s="51"/>
      <c r="M439" s="39">
        <f>M440</f>
        <v>983.47</v>
      </c>
      <c r="N439" s="51"/>
      <c r="O439" s="66">
        <f>O440</f>
        <v>983.47</v>
      </c>
      <c r="Q439" s="66">
        <f>Q440</f>
        <v>983.47</v>
      </c>
    </row>
    <row r="440" spans="1:17" ht="18" customHeight="1" x14ac:dyDescent="0.25">
      <c r="A440" s="37" t="s">
        <v>303</v>
      </c>
      <c r="B440" s="34"/>
      <c r="C440" s="34" t="s">
        <v>24</v>
      </c>
      <c r="D440" s="34" t="s">
        <v>27</v>
      </c>
      <c r="E440" s="34" t="s">
        <v>414</v>
      </c>
      <c r="F440" s="34" t="s">
        <v>302</v>
      </c>
      <c r="G440" s="39">
        <f>500</f>
        <v>500</v>
      </c>
      <c r="H440" s="51">
        <v>500</v>
      </c>
      <c r="I440" s="39">
        <f>G440+H440</f>
        <v>1000</v>
      </c>
      <c r="K440" s="39">
        <f>I440+J440</f>
        <v>1000</v>
      </c>
      <c r="L440" s="51">
        <v>-16.53</v>
      </c>
      <c r="M440" s="39">
        <f>K440+L440</f>
        <v>983.47</v>
      </c>
      <c r="N440" s="51"/>
      <c r="O440" s="66">
        <f>M440+N440</f>
        <v>983.47</v>
      </c>
      <c r="Q440" s="66">
        <f>O440+P440</f>
        <v>983.47</v>
      </c>
    </row>
    <row r="441" spans="1:17" ht="29.25" customHeight="1" x14ac:dyDescent="0.25">
      <c r="A441" s="1" t="s">
        <v>356</v>
      </c>
      <c r="B441" s="34"/>
      <c r="C441" s="34" t="s">
        <v>24</v>
      </c>
      <c r="D441" s="34" t="s">
        <v>27</v>
      </c>
      <c r="E441" s="34" t="s">
        <v>310</v>
      </c>
      <c r="F441" s="34"/>
      <c r="G441" s="39"/>
      <c r="I441" s="39"/>
      <c r="K441" s="39"/>
      <c r="L441" s="51"/>
      <c r="M441" s="39">
        <f>M442</f>
        <v>23.5</v>
      </c>
      <c r="N441" s="51"/>
      <c r="O441" s="66">
        <f>O442</f>
        <v>23.5</v>
      </c>
      <c r="Q441" s="66">
        <f>Q442</f>
        <v>23.5</v>
      </c>
    </row>
    <row r="442" spans="1:17" ht="16.5" customHeight="1" x14ac:dyDescent="0.25">
      <c r="A442" s="37" t="s">
        <v>225</v>
      </c>
      <c r="B442" s="34"/>
      <c r="C442" s="34" t="s">
        <v>24</v>
      </c>
      <c r="D442" s="34" t="s">
        <v>27</v>
      </c>
      <c r="E442" s="34" t="s">
        <v>310</v>
      </c>
      <c r="F442" s="34" t="s">
        <v>211</v>
      </c>
      <c r="G442" s="39"/>
      <c r="I442" s="39"/>
      <c r="K442" s="39"/>
      <c r="L442" s="51">
        <v>23.5</v>
      </c>
      <c r="M442" s="39">
        <f>K442+L442</f>
        <v>23.5</v>
      </c>
      <c r="N442" s="51"/>
      <c r="O442" s="66">
        <f>M442+N442</f>
        <v>23.5</v>
      </c>
      <c r="Q442" s="66">
        <f>O442+P442</f>
        <v>23.5</v>
      </c>
    </row>
    <row r="443" spans="1:17" x14ac:dyDescent="0.25">
      <c r="A443" s="25" t="s">
        <v>45</v>
      </c>
      <c r="B443" s="34"/>
      <c r="C443" s="31" t="s">
        <v>46</v>
      </c>
      <c r="D443" s="31"/>
      <c r="E443" s="31"/>
      <c r="F443" s="31"/>
      <c r="G443" s="40">
        <f>G444+G448</f>
        <v>10000</v>
      </c>
      <c r="H443" s="52"/>
      <c r="I443" s="40">
        <f>I444+I448</f>
        <v>10300</v>
      </c>
      <c r="J443" s="52"/>
      <c r="K443" s="40">
        <f>K444+K448</f>
        <v>5000</v>
      </c>
      <c r="L443" s="52"/>
      <c r="M443" s="40">
        <f>M444+M448+M475</f>
        <v>33076.049999999996</v>
      </c>
      <c r="N443" s="52"/>
      <c r="O443" s="65">
        <f>O444+O448+O475</f>
        <v>33633.49</v>
      </c>
      <c r="Q443" s="65">
        <f>Q444+Q448+Q475</f>
        <v>33633.49</v>
      </c>
    </row>
    <row r="444" spans="1:17" hidden="1" x14ac:dyDescent="0.25">
      <c r="A444" s="25" t="s">
        <v>419</v>
      </c>
      <c r="B444" s="34"/>
      <c r="C444" s="31" t="s">
        <v>46</v>
      </c>
      <c r="D444" s="31" t="s">
        <v>15</v>
      </c>
      <c r="E444" s="31"/>
      <c r="F444" s="31"/>
      <c r="G444" s="40">
        <f>G445+G447</f>
        <v>5000</v>
      </c>
      <c r="H444" s="52"/>
      <c r="I444" s="40">
        <f>I445+I447</f>
        <v>5300</v>
      </c>
      <c r="J444" s="52"/>
      <c r="K444" s="40">
        <f>K445+K447</f>
        <v>0</v>
      </c>
      <c r="L444" s="52"/>
      <c r="M444" s="40">
        <f>M445+M447</f>
        <v>0</v>
      </c>
      <c r="N444" s="52"/>
      <c r="O444" s="65">
        <f>O445+O447</f>
        <v>0</v>
      </c>
      <c r="Q444" s="65">
        <f>Q445+Q447</f>
        <v>0</v>
      </c>
    </row>
    <row r="445" spans="1:17" ht="30" hidden="1" x14ac:dyDescent="0.25">
      <c r="A445" s="47" t="s">
        <v>420</v>
      </c>
      <c r="B445" s="34"/>
      <c r="C445" s="34" t="s">
        <v>46</v>
      </c>
      <c r="D445" s="34" t="s">
        <v>15</v>
      </c>
      <c r="E445" s="34" t="s">
        <v>421</v>
      </c>
      <c r="F445" s="34"/>
      <c r="G445" s="39">
        <f>G446</f>
        <v>5000</v>
      </c>
      <c r="I445" s="39">
        <f>I446</f>
        <v>5000</v>
      </c>
      <c r="K445" s="39">
        <f>K446</f>
        <v>0</v>
      </c>
      <c r="L445" s="51"/>
      <c r="M445" s="39">
        <f>M446</f>
        <v>0</v>
      </c>
      <c r="N445" s="51"/>
      <c r="O445" s="66">
        <f>O446</f>
        <v>0</v>
      </c>
      <c r="Q445" s="66">
        <f>Q446</f>
        <v>0</v>
      </c>
    </row>
    <row r="446" spans="1:17" hidden="1" x14ac:dyDescent="0.25">
      <c r="A446" s="37" t="s">
        <v>225</v>
      </c>
      <c r="B446" s="34"/>
      <c r="C446" s="34" t="s">
        <v>46</v>
      </c>
      <c r="D446" s="34" t="s">
        <v>15</v>
      </c>
      <c r="E446" s="34" t="s">
        <v>421</v>
      </c>
      <c r="F446" s="34" t="s">
        <v>211</v>
      </c>
      <c r="G446" s="39">
        <f>5000+2500-2500</f>
        <v>5000</v>
      </c>
      <c r="I446" s="39">
        <f>G446+H446</f>
        <v>5000</v>
      </c>
      <c r="J446" s="51">
        <v>-5000</v>
      </c>
      <c r="K446" s="39">
        <f>I446+J446</f>
        <v>0</v>
      </c>
      <c r="L446" s="51"/>
      <c r="M446" s="39">
        <f>K446+L446</f>
        <v>0</v>
      </c>
      <c r="N446" s="51"/>
      <c r="O446" s="66">
        <f>M446+N446</f>
        <v>0</v>
      </c>
      <c r="Q446" s="66">
        <f>O446+P446</f>
        <v>0</v>
      </c>
    </row>
    <row r="447" spans="1:17" hidden="1" x14ac:dyDescent="0.25">
      <c r="A447" s="37" t="s">
        <v>225</v>
      </c>
      <c r="B447" s="34"/>
      <c r="C447" s="34" t="s">
        <v>46</v>
      </c>
      <c r="D447" s="34" t="s">
        <v>15</v>
      </c>
      <c r="E447" s="34" t="s">
        <v>444</v>
      </c>
      <c r="F447" s="34" t="s">
        <v>211</v>
      </c>
      <c r="G447" s="39"/>
      <c r="H447" s="51">
        <v>300</v>
      </c>
      <c r="I447" s="39">
        <f>G447+H447</f>
        <v>300</v>
      </c>
      <c r="J447" s="51">
        <v>-300</v>
      </c>
      <c r="K447" s="39">
        <f>I447+J447</f>
        <v>0</v>
      </c>
      <c r="L447" s="51"/>
      <c r="M447" s="39">
        <f>K447+L447</f>
        <v>0</v>
      </c>
      <c r="N447" s="51"/>
      <c r="O447" s="66">
        <f>M447+N447</f>
        <v>0</v>
      </c>
      <c r="Q447" s="66">
        <f>O447+P447</f>
        <v>0</v>
      </c>
    </row>
    <row r="448" spans="1:17" x14ac:dyDescent="0.25">
      <c r="A448" s="9" t="s">
        <v>47</v>
      </c>
      <c r="B448" s="34"/>
      <c r="C448" s="31" t="s">
        <v>46</v>
      </c>
      <c r="D448" s="31" t="s">
        <v>17</v>
      </c>
      <c r="E448" s="31"/>
      <c r="F448" s="31"/>
      <c r="G448" s="40">
        <f>G469+G471+G473</f>
        <v>5000</v>
      </c>
      <c r="H448" s="52"/>
      <c r="I448" s="40">
        <f>I469+I471+I473</f>
        <v>5000</v>
      </c>
      <c r="J448" s="52"/>
      <c r="K448" s="40">
        <f>K469+K471+K473</f>
        <v>5000</v>
      </c>
      <c r="L448" s="52"/>
      <c r="M448" s="40">
        <f>M469+M471+M473+M455+M457+M459+M463+M465+M467+M461</f>
        <v>32922.649999999994</v>
      </c>
      <c r="N448" s="52"/>
      <c r="O448" s="65">
        <f>O469+O471+O473+O455+O457+O459+O463+O465+O467+O461+O449+O453</f>
        <v>33493.089999999997</v>
      </c>
      <c r="Q448" s="65">
        <f>Q469+Q471+Q473+Q455+Q457+Q459+Q463+Q465+Q467+Q461+Q449+Q453</f>
        <v>33493.089999999997</v>
      </c>
    </row>
    <row r="449" spans="1:17" ht="18.75" customHeight="1" x14ac:dyDescent="0.25">
      <c r="A449" s="21" t="s">
        <v>596</v>
      </c>
      <c r="B449" s="34"/>
      <c r="C449" s="34" t="s">
        <v>46</v>
      </c>
      <c r="D449" s="34" t="s">
        <v>17</v>
      </c>
      <c r="E449" s="34" t="s">
        <v>534</v>
      </c>
      <c r="F449" s="34"/>
      <c r="G449" s="39"/>
      <c r="I449" s="39"/>
      <c r="K449" s="39"/>
      <c r="L449" s="51"/>
      <c r="M449" s="39"/>
      <c r="N449" s="51"/>
      <c r="O449" s="66">
        <f>O450</f>
        <v>257.45999999999998</v>
      </c>
      <c r="Q449" s="66">
        <f>Q450</f>
        <v>257.45999999999998</v>
      </c>
    </row>
    <row r="450" spans="1:17" x14ac:dyDescent="0.25">
      <c r="A450" s="37" t="s">
        <v>303</v>
      </c>
      <c r="B450" s="34"/>
      <c r="C450" s="34" t="s">
        <v>46</v>
      </c>
      <c r="D450" s="34" t="s">
        <v>17</v>
      </c>
      <c r="E450" s="34" t="s">
        <v>534</v>
      </c>
      <c r="F450" s="34" t="s">
        <v>302</v>
      </c>
      <c r="G450" s="39"/>
      <c r="I450" s="39"/>
      <c r="K450" s="39"/>
      <c r="L450" s="51"/>
      <c r="M450" s="39"/>
      <c r="N450" s="51">
        <v>257.45999999999998</v>
      </c>
      <c r="O450" s="66">
        <f>M450+N450</f>
        <v>257.45999999999998</v>
      </c>
      <c r="Q450" s="66">
        <f>O450+P450</f>
        <v>257.45999999999998</v>
      </c>
    </row>
    <row r="451" spans="1:17" ht="18" customHeight="1" x14ac:dyDescent="0.25">
      <c r="A451" s="18" t="s">
        <v>342</v>
      </c>
      <c r="B451" s="34"/>
      <c r="C451" s="34" t="s">
        <v>46</v>
      </c>
      <c r="D451" s="34" t="s">
        <v>17</v>
      </c>
      <c r="E451" s="34" t="s">
        <v>341</v>
      </c>
      <c r="F451" s="34"/>
      <c r="G451" s="39"/>
      <c r="I451" s="39"/>
      <c r="K451" s="39"/>
      <c r="L451" s="51"/>
      <c r="M451" s="39"/>
      <c r="N451" s="51"/>
      <c r="O451" s="66"/>
      <c r="Q451" s="66"/>
    </row>
    <row r="452" spans="1:17" x14ac:dyDescent="0.25">
      <c r="A452" s="37" t="s">
        <v>225</v>
      </c>
      <c r="B452" s="34"/>
      <c r="C452" s="34" t="s">
        <v>46</v>
      </c>
      <c r="D452" s="34" t="s">
        <v>17</v>
      </c>
      <c r="E452" s="34" t="s">
        <v>341</v>
      </c>
      <c r="F452" s="34" t="s">
        <v>211</v>
      </c>
      <c r="G452" s="39"/>
      <c r="I452" s="39">
        <f>G452+H452</f>
        <v>0</v>
      </c>
      <c r="K452" s="39">
        <f>I452+J452</f>
        <v>0</v>
      </c>
      <c r="L452" s="51"/>
      <c r="M452" s="39">
        <f>K452+L452</f>
        <v>0</v>
      </c>
      <c r="N452" s="51"/>
      <c r="O452" s="66">
        <f>M452+N452</f>
        <v>0</v>
      </c>
      <c r="Q452" s="66">
        <f>O452+P452</f>
        <v>0</v>
      </c>
    </row>
    <row r="453" spans="1:17" ht="16.5" customHeight="1" x14ac:dyDescent="0.25">
      <c r="A453" s="37" t="s">
        <v>532</v>
      </c>
      <c r="B453" s="34"/>
      <c r="C453" s="34" t="s">
        <v>46</v>
      </c>
      <c r="D453" s="34" t="s">
        <v>17</v>
      </c>
      <c r="E453" s="34" t="s">
        <v>597</v>
      </c>
      <c r="F453" s="34"/>
      <c r="G453" s="39"/>
      <c r="I453" s="39"/>
      <c r="K453" s="39"/>
      <c r="L453" s="51"/>
      <c r="M453" s="39"/>
      <c r="N453" s="51"/>
      <c r="O453" s="66">
        <f>O454</f>
        <v>379.15</v>
      </c>
      <c r="Q453" s="66">
        <f>Q454</f>
        <v>379.15</v>
      </c>
    </row>
    <row r="454" spans="1:17" x14ac:dyDescent="0.25">
      <c r="A454" s="37" t="s">
        <v>303</v>
      </c>
      <c r="B454" s="34"/>
      <c r="C454" s="34" t="s">
        <v>46</v>
      </c>
      <c r="D454" s="34" t="s">
        <v>17</v>
      </c>
      <c r="E454" s="34" t="s">
        <v>597</v>
      </c>
      <c r="F454" s="34" t="s">
        <v>302</v>
      </c>
      <c r="G454" s="39"/>
      <c r="I454" s="39"/>
      <c r="K454" s="39"/>
      <c r="L454" s="51"/>
      <c r="M454" s="39"/>
      <c r="N454" s="51">
        <f>379.15</f>
        <v>379.15</v>
      </c>
      <c r="O454" s="66">
        <f>M454+N454</f>
        <v>379.15</v>
      </c>
      <c r="Q454" s="66">
        <f>O454+P454</f>
        <v>379.15</v>
      </c>
    </row>
    <row r="455" spans="1:17" ht="30" x14ac:dyDescent="0.25">
      <c r="A455" s="37" t="s">
        <v>525</v>
      </c>
      <c r="B455" s="34"/>
      <c r="C455" s="34" t="s">
        <v>46</v>
      </c>
      <c r="D455" s="34" t="s">
        <v>17</v>
      </c>
      <c r="E455" s="34" t="s">
        <v>524</v>
      </c>
      <c r="F455" s="34"/>
      <c r="G455" s="39"/>
      <c r="I455" s="39"/>
      <c r="K455" s="39"/>
      <c r="L455" s="51"/>
      <c r="M455" s="39">
        <f>M456</f>
        <v>100.2</v>
      </c>
      <c r="N455" s="51"/>
      <c r="O455" s="66">
        <f>O456</f>
        <v>100.2</v>
      </c>
      <c r="Q455" s="66">
        <f>Q456</f>
        <v>100.2</v>
      </c>
    </row>
    <row r="456" spans="1:17" x14ac:dyDescent="0.25">
      <c r="A456" s="37" t="s">
        <v>303</v>
      </c>
      <c r="B456" s="34"/>
      <c r="C456" s="34" t="s">
        <v>46</v>
      </c>
      <c r="D456" s="34" t="s">
        <v>17</v>
      </c>
      <c r="E456" s="34" t="s">
        <v>524</v>
      </c>
      <c r="F456" s="34" t="s">
        <v>302</v>
      </c>
      <c r="G456" s="39"/>
      <c r="I456" s="39"/>
      <c r="K456" s="39"/>
      <c r="L456" s="51">
        <v>100.2</v>
      </c>
      <c r="M456" s="39">
        <f>K456+L456</f>
        <v>100.2</v>
      </c>
      <c r="N456" s="51"/>
      <c r="O456" s="66">
        <f>M456+N456</f>
        <v>100.2</v>
      </c>
      <c r="Q456" s="66">
        <f>O456+P456</f>
        <v>100.2</v>
      </c>
    </row>
    <row r="457" spans="1:17" x14ac:dyDescent="0.25">
      <c r="A457" s="37" t="s">
        <v>526</v>
      </c>
      <c r="B457" s="34"/>
      <c r="C457" s="34" t="s">
        <v>46</v>
      </c>
      <c r="D457" s="34" t="s">
        <v>17</v>
      </c>
      <c r="E457" s="34" t="s">
        <v>527</v>
      </c>
      <c r="F457" s="34"/>
      <c r="G457" s="39"/>
      <c r="I457" s="39"/>
      <c r="K457" s="39"/>
      <c r="L457" s="51"/>
      <c r="M457" s="39">
        <f>M458</f>
        <v>271.19</v>
      </c>
      <c r="N457" s="51"/>
      <c r="O457" s="66">
        <f>O458</f>
        <v>271.19</v>
      </c>
      <c r="Q457" s="66">
        <f>Q458</f>
        <v>271.19</v>
      </c>
    </row>
    <row r="458" spans="1:17" x14ac:dyDescent="0.25">
      <c r="A458" s="37" t="s">
        <v>303</v>
      </c>
      <c r="B458" s="34"/>
      <c r="C458" s="34" t="s">
        <v>46</v>
      </c>
      <c r="D458" s="34" t="s">
        <v>17</v>
      </c>
      <c r="E458" s="34" t="s">
        <v>527</v>
      </c>
      <c r="F458" s="34" t="s">
        <v>302</v>
      </c>
      <c r="G458" s="39"/>
      <c r="I458" s="39"/>
      <c r="K458" s="39"/>
      <c r="L458" s="51">
        <v>271.19</v>
      </c>
      <c r="M458" s="39">
        <f>K458+L458</f>
        <v>271.19</v>
      </c>
      <c r="N458" s="51"/>
      <c r="O458" s="66">
        <f>M458+N458</f>
        <v>271.19</v>
      </c>
      <c r="Q458" s="66">
        <f>O458+P458</f>
        <v>271.19</v>
      </c>
    </row>
    <row r="459" spans="1:17" x14ac:dyDescent="0.25">
      <c r="A459" s="37" t="s">
        <v>529</v>
      </c>
      <c r="B459" s="34"/>
      <c r="C459" s="34" t="s">
        <v>46</v>
      </c>
      <c r="D459" s="34" t="s">
        <v>17</v>
      </c>
      <c r="E459" s="34" t="s">
        <v>528</v>
      </c>
      <c r="F459" s="34"/>
      <c r="G459" s="39"/>
      <c r="I459" s="39"/>
      <c r="K459" s="39"/>
      <c r="L459" s="51"/>
      <c r="M459" s="39">
        <f>M460</f>
        <v>329.16</v>
      </c>
      <c r="N459" s="51"/>
      <c r="O459" s="66">
        <f>O460</f>
        <v>329.16</v>
      </c>
      <c r="Q459" s="66">
        <f>Q460</f>
        <v>329.16</v>
      </c>
    </row>
    <row r="460" spans="1:17" x14ac:dyDescent="0.25">
      <c r="A460" s="37" t="s">
        <v>303</v>
      </c>
      <c r="B460" s="34"/>
      <c r="C460" s="34" t="s">
        <v>46</v>
      </c>
      <c r="D460" s="34" t="s">
        <v>17</v>
      </c>
      <c r="E460" s="34" t="s">
        <v>528</v>
      </c>
      <c r="F460" s="34" t="s">
        <v>302</v>
      </c>
      <c r="G460" s="39"/>
      <c r="I460" s="39"/>
      <c r="K460" s="39"/>
      <c r="L460" s="51">
        <v>329.16</v>
      </c>
      <c r="M460" s="39">
        <f>K460+L460</f>
        <v>329.16</v>
      </c>
      <c r="N460" s="51"/>
      <c r="O460" s="66">
        <f>M460+N460</f>
        <v>329.16</v>
      </c>
      <c r="Q460" s="66">
        <f>O460+P460</f>
        <v>329.16</v>
      </c>
    </row>
    <row r="461" spans="1:17" ht="15.75" customHeight="1" x14ac:dyDescent="0.25">
      <c r="A461" s="37" t="s">
        <v>532</v>
      </c>
      <c r="B461" s="34"/>
      <c r="C461" s="34" t="s">
        <v>46</v>
      </c>
      <c r="D461" s="34" t="s">
        <v>17</v>
      </c>
      <c r="E461" s="34" t="s">
        <v>531</v>
      </c>
      <c r="F461" s="34"/>
      <c r="G461" s="39"/>
      <c r="I461" s="39"/>
      <c r="K461" s="39"/>
      <c r="L461" s="51"/>
      <c r="M461" s="39">
        <f>M462</f>
        <v>400</v>
      </c>
      <c r="N461" s="51"/>
      <c r="O461" s="66">
        <f>O462</f>
        <v>400</v>
      </c>
      <c r="Q461" s="66">
        <f>Q462</f>
        <v>400</v>
      </c>
    </row>
    <row r="462" spans="1:17" x14ac:dyDescent="0.25">
      <c r="A462" s="37" t="s">
        <v>303</v>
      </c>
      <c r="B462" s="34"/>
      <c r="C462" s="34" t="s">
        <v>46</v>
      </c>
      <c r="D462" s="34" t="s">
        <v>17</v>
      </c>
      <c r="E462" s="34" t="s">
        <v>531</v>
      </c>
      <c r="F462" s="34" t="s">
        <v>302</v>
      </c>
      <c r="G462" s="39"/>
      <c r="I462" s="39"/>
      <c r="K462" s="39"/>
      <c r="L462" s="51">
        <v>400</v>
      </c>
      <c r="M462" s="39">
        <f>K462+L462</f>
        <v>400</v>
      </c>
      <c r="N462" s="51"/>
      <c r="O462" s="66">
        <f>M462+N462</f>
        <v>400</v>
      </c>
      <c r="Q462" s="66">
        <f>O462+P462</f>
        <v>400</v>
      </c>
    </row>
    <row r="463" spans="1:17" x14ac:dyDescent="0.25">
      <c r="A463" s="17" t="s">
        <v>407</v>
      </c>
      <c r="B463" s="34"/>
      <c r="C463" s="34" t="s">
        <v>46</v>
      </c>
      <c r="D463" s="34" t="s">
        <v>17</v>
      </c>
      <c r="E463" s="34" t="s">
        <v>409</v>
      </c>
      <c r="F463" s="34"/>
      <c r="G463" s="39"/>
      <c r="I463" s="39"/>
      <c r="K463" s="39"/>
      <c r="L463" s="51"/>
      <c r="M463" s="39">
        <f>M464</f>
        <v>465.2</v>
      </c>
      <c r="N463" s="51"/>
      <c r="O463" s="66">
        <f>O464</f>
        <v>465.2</v>
      </c>
      <c r="Q463" s="66">
        <f>Q464</f>
        <v>465.2</v>
      </c>
    </row>
    <row r="464" spans="1:17" ht="17.25" customHeight="1" x14ac:dyDescent="0.25">
      <c r="A464" s="17" t="s">
        <v>303</v>
      </c>
      <c r="B464" s="34"/>
      <c r="C464" s="34" t="s">
        <v>46</v>
      </c>
      <c r="D464" s="34" t="s">
        <v>17</v>
      </c>
      <c r="E464" s="34" t="s">
        <v>409</v>
      </c>
      <c r="F464" s="34" t="s">
        <v>302</v>
      </c>
      <c r="G464" s="39"/>
      <c r="I464" s="39"/>
      <c r="K464" s="39"/>
      <c r="L464" s="51">
        <v>465.2</v>
      </c>
      <c r="M464" s="39">
        <f>K464+L464</f>
        <v>465.2</v>
      </c>
      <c r="N464" s="51"/>
      <c r="O464" s="66">
        <f>M464+N464</f>
        <v>465.2</v>
      </c>
      <c r="Q464" s="66">
        <f>O464+P464</f>
        <v>465.2</v>
      </c>
    </row>
    <row r="465" spans="1:17" x14ac:dyDescent="0.25">
      <c r="A465" s="17" t="s">
        <v>408</v>
      </c>
      <c r="B465" s="34"/>
      <c r="C465" s="34" t="s">
        <v>46</v>
      </c>
      <c r="D465" s="34" t="s">
        <v>17</v>
      </c>
      <c r="E465" s="34" t="s">
        <v>538</v>
      </c>
      <c r="F465" s="34"/>
      <c r="G465" s="39"/>
      <c r="I465" s="39"/>
      <c r="K465" s="39"/>
      <c r="L465" s="51"/>
      <c r="M465" s="39">
        <f>M466</f>
        <v>633.20000000000005</v>
      </c>
      <c r="N465" s="51"/>
      <c r="O465" s="66">
        <f>O466</f>
        <v>519.97</v>
      </c>
      <c r="Q465" s="66">
        <f>Q466</f>
        <v>519.97</v>
      </c>
    </row>
    <row r="466" spans="1:17" ht="17.25" customHeight="1" x14ac:dyDescent="0.25">
      <c r="A466" s="17" t="s">
        <v>303</v>
      </c>
      <c r="B466" s="34"/>
      <c r="C466" s="34" t="s">
        <v>46</v>
      </c>
      <c r="D466" s="34" t="s">
        <v>17</v>
      </c>
      <c r="E466" s="34" t="s">
        <v>410</v>
      </c>
      <c r="F466" s="34" t="s">
        <v>302</v>
      </c>
      <c r="G466" s="39"/>
      <c r="I466" s="39"/>
      <c r="K466" s="39"/>
      <c r="L466" s="51">
        <v>633.20000000000005</v>
      </c>
      <c r="M466" s="39">
        <f>K466+L466</f>
        <v>633.20000000000005</v>
      </c>
      <c r="N466" s="51">
        <v>-113.23</v>
      </c>
      <c r="O466" s="66">
        <f>M466+N466</f>
        <v>519.97</v>
      </c>
      <c r="Q466" s="66">
        <f>O466+P466</f>
        <v>519.97</v>
      </c>
    </row>
    <row r="467" spans="1:17" ht="60.75" customHeight="1" x14ac:dyDescent="0.25">
      <c r="A467" s="17" t="s">
        <v>411</v>
      </c>
      <c r="B467" s="34"/>
      <c r="C467" s="34" t="s">
        <v>46</v>
      </c>
      <c r="D467" s="34" t="s">
        <v>17</v>
      </c>
      <c r="E467" s="34" t="s">
        <v>412</v>
      </c>
      <c r="F467" s="34"/>
      <c r="G467" s="39"/>
      <c r="I467" s="39"/>
      <c r="K467" s="39"/>
      <c r="L467" s="51"/>
      <c r="M467" s="39">
        <f>M468</f>
        <v>113.6</v>
      </c>
      <c r="N467" s="51"/>
      <c r="O467" s="66">
        <f>O468</f>
        <v>113.6</v>
      </c>
      <c r="Q467" s="66">
        <f>Q468</f>
        <v>113.6</v>
      </c>
    </row>
    <row r="468" spans="1:17" ht="18" customHeight="1" x14ac:dyDescent="0.25">
      <c r="A468" s="17" t="s">
        <v>303</v>
      </c>
      <c r="B468" s="34"/>
      <c r="C468" s="34" t="s">
        <v>46</v>
      </c>
      <c r="D468" s="34" t="s">
        <v>17</v>
      </c>
      <c r="E468" s="34" t="s">
        <v>412</v>
      </c>
      <c r="F468" s="34" t="s">
        <v>302</v>
      </c>
      <c r="G468" s="39"/>
      <c r="I468" s="39"/>
      <c r="K468" s="39"/>
      <c r="L468" s="51">
        <v>113.6</v>
      </c>
      <c r="M468" s="39">
        <f>L468+K468</f>
        <v>113.6</v>
      </c>
      <c r="N468" s="51"/>
      <c r="O468" s="66">
        <f>N468+M468</f>
        <v>113.6</v>
      </c>
      <c r="Q468" s="66">
        <f>P468+O468</f>
        <v>113.6</v>
      </c>
    </row>
    <row r="469" spans="1:17" ht="30" customHeight="1" x14ac:dyDescent="0.25">
      <c r="A469" s="17" t="s">
        <v>417</v>
      </c>
      <c r="B469" s="34"/>
      <c r="C469" s="34" t="s">
        <v>46</v>
      </c>
      <c r="D469" s="34" t="s">
        <v>17</v>
      </c>
      <c r="E469" s="34" t="s">
        <v>418</v>
      </c>
      <c r="F469" s="34"/>
      <c r="G469" s="39">
        <f>G470</f>
        <v>5000</v>
      </c>
      <c r="I469" s="39">
        <f>I470</f>
        <v>5000</v>
      </c>
      <c r="K469" s="39">
        <f>K470</f>
        <v>5000</v>
      </c>
      <c r="L469" s="51"/>
      <c r="M469" s="39">
        <f>M470</f>
        <v>30610.1</v>
      </c>
      <c r="N469" s="51"/>
      <c r="O469" s="66">
        <f>O470</f>
        <v>30657.16</v>
      </c>
      <c r="Q469" s="66">
        <f>Q470</f>
        <v>30657.16</v>
      </c>
    </row>
    <row r="470" spans="1:17" ht="15.75" customHeight="1" x14ac:dyDescent="0.25">
      <c r="A470" s="17" t="s">
        <v>303</v>
      </c>
      <c r="B470" s="34"/>
      <c r="C470" s="34" t="s">
        <v>46</v>
      </c>
      <c r="D470" s="34" t="s">
        <v>17</v>
      </c>
      <c r="E470" s="34" t="s">
        <v>418</v>
      </c>
      <c r="F470" s="34" t="s">
        <v>302</v>
      </c>
      <c r="G470" s="39">
        <v>5000</v>
      </c>
      <c r="I470" s="39">
        <f>G470+H470</f>
        <v>5000</v>
      </c>
      <c r="K470" s="39">
        <f>I470+J470</f>
        <v>5000</v>
      </c>
      <c r="L470" s="51">
        <v>25610.1</v>
      </c>
      <c r="M470" s="39">
        <f>K470+L470</f>
        <v>30610.1</v>
      </c>
      <c r="N470" s="51">
        <f>-234.34+281.4</f>
        <v>47.059999999999974</v>
      </c>
      <c r="O470" s="66">
        <f>M470+N470</f>
        <v>30657.16</v>
      </c>
      <c r="Q470" s="66">
        <f>O470+P470</f>
        <v>30657.16</v>
      </c>
    </row>
    <row r="471" spans="1:17" ht="32.25" hidden="1" customHeight="1" x14ac:dyDescent="0.25">
      <c r="A471" s="17" t="s">
        <v>351</v>
      </c>
      <c r="B471" s="34"/>
      <c r="C471" s="34" t="s">
        <v>46</v>
      </c>
      <c r="D471" s="34" t="s">
        <v>17</v>
      </c>
      <c r="E471" s="34" t="s">
        <v>348</v>
      </c>
      <c r="F471" s="34"/>
      <c r="G471" s="39">
        <f>G472</f>
        <v>0</v>
      </c>
      <c r="I471" s="39">
        <f>I472</f>
        <v>0</v>
      </c>
      <c r="K471" s="39">
        <f>K472</f>
        <v>0</v>
      </c>
      <c r="L471" s="51"/>
      <c r="M471" s="39">
        <f>M472</f>
        <v>0</v>
      </c>
      <c r="N471" s="51"/>
      <c r="O471" s="66">
        <f>O472</f>
        <v>0</v>
      </c>
      <c r="Q471" s="66">
        <f>Q472</f>
        <v>0</v>
      </c>
    </row>
    <row r="472" spans="1:17" ht="33.75" hidden="1" customHeight="1" x14ac:dyDescent="0.25">
      <c r="A472" s="17" t="s">
        <v>303</v>
      </c>
      <c r="B472" s="34"/>
      <c r="C472" s="34" t="s">
        <v>46</v>
      </c>
      <c r="D472" s="34" t="s">
        <v>17</v>
      </c>
      <c r="E472" s="34" t="s">
        <v>348</v>
      </c>
      <c r="F472" s="34" t="s">
        <v>302</v>
      </c>
      <c r="G472" s="39"/>
      <c r="I472" s="39">
        <f>G472+H472</f>
        <v>0</v>
      </c>
      <c r="K472" s="39">
        <f>I472+J472</f>
        <v>0</v>
      </c>
      <c r="L472" s="51"/>
      <c r="M472" s="39">
        <f>K472+L472</f>
        <v>0</v>
      </c>
      <c r="N472" s="51"/>
      <c r="O472" s="66">
        <f>M472+N472</f>
        <v>0</v>
      </c>
      <c r="Q472" s="66">
        <f>O472+P472</f>
        <v>0</v>
      </c>
    </row>
    <row r="473" spans="1:17" ht="30" hidden="1" customHeight="1" x14ac:dyDescent="0.25">
      <c r="A473" s="17" t="s">
        <v>352</v>
      </c>
      <c r="B473" s="34"/>
      <c r="C473" s="34" t="s">
        <v>46</v>
      </c>
      <c r="D473" s="34" t="s">
        <v>17</v>
      </c>
      <c r="E473" s="34" t="s">
        <v>350</v>
      </c>
      <c r="F473" s="34"/>
      <c r="G473" s="39">
        <f>G474</f>
        <v>0</v>
      </c>
      <c r="I473" s="39">
        <f>I474</f>
        <v>0</v>
      </c>
      <c r="K473" s="39">
        <f>K474</f>
        <v>0</v>
      </c>
      <c r="L473" s="51"/>
      <c r="M473" s="39">
        <f>M474</f>
        <v>0</v>
      </c>
      <c r="N473" s="51"/>
      <c r="O473" s="66">
        <f>O474</f>
        <v>0</v>
      </c>
      <c r="Q473" s="66">
        <f>Q474</f>
        <v>0</v>
      </c>
    </row>
    <row r="474" spans="1:17" ht="33.75" hidden="1" customHeight="1" x14ac:dyDescent="0.25">
      <c r="A474" s="17" t="s">
        <v>303</v>
      </c>
      <c r="B474" s="34"/>
      <c r="C474" s="34" t="s">
        <v>46</v>
      </c>
      <c r="D474" s="34" t="s">
        <v>17</v>
      </c>
      <c r="E474" s="34" t="s">
        <v>350</v>
      </c>
      <c r="F474" s="34" t="s">
        <v>302</v>
      </c>
      <c r="G474" s="39"/>
      <c r="I474" s="39">
        <f>G474+H474</f>
        <v>0</v>
      </c>
      <c r="K474" s="39">
        <f>I474+J474</f>
        <v>0</v>
      </c>
      <c r="L474" s="51"/>
      <c r="M474" s="39">
        <f>K474+L474</f>
        <v>0</v>
      </c>
      <c r="N474" s="51"/>
      <c r="O474" s="66">
        <f>M474+N474</f>
        <v>0</v>
      </c>
      <c r="Q474" s="66">
        <f>O474+P474</f>
        <v>0</v>
      </c>
    </row>
    <row r="475" spans="1:17" ht="16.5" customHeight="1" x14ac:dyDescent="0.25">
      <c r="A475" s="36" t="s">
        <v>48</v>
      </c>
      <c r="B475" s="31"/>
      <c r="C475" s="31" t="s">
        <v>46</v>
      </c>
      <c r="D475" s="31" t="s">
        <v>20</v>
      </c>
      <c r="E475" s="31"/>
      <c r="F475" s="31"/>
      <c r="G475" s="40"/>
      <c r="H475" s="52"/>
      <c r="I475" s="40"/>
      <c r="J475" s="52"/>
      <c r="K475" s="40"/>
      <c r="L475" s="52"/>
      <c r="M475" s="40">
        <f>M476</f>
        <v>153.4</v>
      </c>
      <c r="N475" s="52"/>
      <c r="O475" s="65">
        <f>O476</f>
        <v>140.4</v>
      </c>
      <c r="Q475" s="65">
        <f>Q476</f>
        <v>140.4</v>
      </c>
    </row>
    <row r="476" spans="1:17" ht="18.75" customHeight="1" x14ac:dyDescent="0.25">
      <c r="A476" s="17" t="s">
        <v>49</v>
      </c>
      <c r="B476" s="34"/>
      <c r="C476" s="34" t="s">
        <v>46</v>
      </c>
      <c r="D476" s="34" t="s">
        <v>20</v>
      </c>
      <c r="E476" s="34" t="s">
        <v>481</v>
      </c>
      <c r="F476" s="34"/>
      <c r="G476" s="39"/>
      <c r="I476" s="39"/>
      <c r="K476" s="39"/>
      <c r="L476" s="51"/>
      <c r="M476" s="39">
        <f>M477</f>
        <v>153.4</v>
      </c>
      <c r="N476" s="51"/>
      <c r="O476" s="66">
        <f>O477</f>
        <v>140.4</v>
      </c>
      <c r="Q476" s="66">
        <f>Q477</f>
        <v>140.4</v>
      </c>
    </row>
    <row r="477" spans="1:17" ht="19.5" customHeight="1" x14ac:dyDescent="0.25">
      <c r="A477" s="37" t="s">
        <v>225</v>
      </c>
      <c r="B477" s="34"/>
      <c r="C477" s="34" t="s">
        <v>46</v>
      </c>
      <c r="D477" s="34" t="s">
        <v>20</v>
      </c>
      <c r="E477" s="34" t="s">
        <v>481</v>
      </c>
      <c r="F477" s="34" t="s">
        <v>211</v>
      </c>
      <c r="G477" s="39"/>
      <c r="I477" s="39"/>
      <c r="K477" s="39"/>
      <c r="L477" s="51">
        <f>54.23+99.17</f>
        <v>153.4</v>
      </c>
      <c r="M477" s="39">
        <f>K477+L477</f>
        <v>153.4</v>
      </c>
      <c r="N477" s="51">
        <v>-13</v>
      </c>
      <c r="O477" s="66">
        <f>M477+N477</f>
        <v>140.4</v>
      </c>
      <c r="Q477" s="66">
        <f>O477+P477</f>
        <v>140.4</v>
      </c>
    </row>
    <row r="478" spans="1:17" x14ac:dyDescent="0.25">
      <c r="A478" s="36" t="s">
        <v>55</v>
      </c>
      <c r="B478" s="34"/>
      <c r="C478" s="31" t="s">
        <v>56</v>
      </c>
      <c r="D478" s="31"/>
      <c r="E478" s="31"/>
      <c r="F478" s="31"/>
      <c r="G478" s="40">
        <f>G479</f>
        <v>1000</v>
      </c>
      <c r="H478" s="52"/>
      <c r="I478" s="40">
        <f>I479</f>
        <v>1000</v>
      </c>
      <c r="J478" s="52"/>
      <c r="K478" s="40">
        <f>K479</f>
        <v>1000</v>
      </c>
      <c r="L478" s="52"/>
      <c r="M478" s="40">
        <f>M479+M488</f>
        <v>31229.65</v>
      </c>
      <c r="N478" s="52"/>
      <c r="O478" s="65">
        <f>O479+O488</f>
        <v>135794.96</v>
      </c>
      <c r="Q478" s="65">
        <f>Q479+Q488</f>
        <v>135794.96</v>
      </c>
    </row>
    <row r="479" spans="1:17" ht="17.25" customHeight="1" x14ac:dyDescent="0.25">
      <c r="A479" s="36" t="s">
        <v>57</v>
      </c>
      <c r="B479" s="34"/>
      <c r="C479" s="31" t="s">
        <v>56</v>
      </c>
      <c r="D479" s="31" t="s">
        <v>15</v>
      </c>
      <c r="E479" s="31"/>
      <c r="F479" s="31"/>
      <c r="G479" s="40">
        <f>G484+G486</f>
        <v>1000</v>
      </c>
      <c r="H479" s="52"/>
      <c r="I479" s="40">
        <f>I484+I486</f>
        <v>1000</v>
      </c>
      <c r="J479" s="52"/>
      <c r="K479" s="40">
        <f>K484+K486</f>
        <v>1000</v>
      </c>
      <c r="L479" s="52"/>
      <c r="M479" s="40">
        <f>M484+M486+M482+M480</f>
        <v>25422</v>
      </c>
      <c r="N479" s="52"/>
      <c r="O479" s="65">
        <f>O484+O486+O482+O480</f>
        <v>129861.1</v>
      </c>
      <c r="Q479" s="65">
        <f>Q484+Q486+Q482+Q480</f>
        <v>129861.1</v>
      </c>
    </row>
    <row r="480" spans="1:17" ht="33" customHeight="1" x14ac:dyDescent="0.25">
      <c r="A480" s="38" t="s">
        <v>415</v>
      </c>
      <c r="B480" s="34"/>
      <c r="C480" s="34" t="s">
        <v>56</v>
      </c>
      <c r="D480" s="34" t="s">
        <v>15</v>
      </c>
      <c r="E480" s="34" t="s">
        <v>534</v>
      </c>
      <c r="F480" s="34"/>
      <c r="G480" s="39"/>
      <c r="I480" s="39"/>
      <c r="K480" s="39"/>
      <c r="L480" s="51"/>
      <c r="M480" s="39">
        <f>M481</f>
        <v>18422</v>
      </c>
      <c r="N480" s="51"/>
      <c r="O480" s="66">
        <f>O481</f>
        <v>122861.1</v>
      </c>
      <c r="Q480" s="66">
        <f>Q481</f>
        <v>122861.1</v>
      </c>
    </row>
    <row r="481" spans="1:17" ht="18.75" customHeight="1" x14ac:dyDescent="0.25">
      <c r="A481" s="37" t="s">
        <v>303</v>
      </c>
      <c r="B481" s="34"/>
      <c r="C481" s="34" t="s">
        <v>56</v>
      </c>
      <c r="D481" s="34" t="s">
        <v>15</v>
      </c>
      <c r="E481" s="34" t="s">
        <v>534</v>
      </c>
      <c r="F481" s="34"/>
      <c r="G481" s="39"/>
      <c r="I481" s="39"/>
      <c r="K481" s="39"/>
      <c r="L481" s="51">
        <v>18422</v>
      </c>
      <c r="M481" s="39">
        <f>K481+L481</f>
        <v>18422</v>
      </c>
      <c r="N481" s="51">
        <v>104439.1</v>
      </c>
      <c r="O481" s="66">
        <f>M481+N481</f>
        <v>122861.1</v>
      </c>
      <c r="Q481" s="66">
        <f>O481+P481</f>
        <v>122861.1</v>
      </c>
    </row>
    <row r="482" spans="1:17" ht="33" customHeight="1" x14ac:dyDescent="0.25">
      <c r="A482" s="38" t="s">
        <v>415</v>
      </c>
      <c r="B482" s="34"/>
      <c r="C482" s="34" t="s">
        <v>56</v>
      </c>
      <c r="D482" s="34" t="s">
        <v>15</v>
      </c>
      <c r="E482" s="34" t="s">
        <v>533</v>
      </c>
      <c r="F482" s="34"/>
      <c r="G482" s="39"/>
      <c r="I482" s="39"/>
      <c r="K482" s="39"/>
      <c r="L482" s="51"/>
      <c r="M482" s="39">
        <f>M483</f>
        <v>6000</v>
      </c>
      <c r="N482" s="51"/>
      <c r="O482" s="66">
        <f>O483</f>
        <v>6000</v>
      </c>
      <c r="Q482" s="66">
        <f>Q483</f>
        <v>6000</v>
      </c>
    </row>
    <row r="483" spans="1:17" ht="16.5" customHeight="1" x14ac:dyDescent="0.25">
      <c r="A483" s="37" t="s">
        <v>303</v>
      </c>
      <c r="B483" s="34"/>
      <c r="C483" s="34" t="s">
        <v>56</v>
      </c>
      <c r="D483" s="34" t="s">
        <v>15</v>
      </c>
      <c r="E483" s="34" t="s">
        <v>533</v>
      </c>
      <c r="F483" s="34" t="s">
        <v>302</v>
      </c>
      <c r="G483" s="39"/>
      <c r="I483" s="39"/>
      <c r="K483" s="39"/>
      <c r="L483" s="51">
        <v>6000</v>
      </c>
      <c r="M483" s="39">
        <f>K483+L483</f>
        <v>6000</v>
      </c>
      <c r="N483" s="51"/>
      <c r="O483" s="66">
        <f>M483+N483</f>
        <v>6000</v>
      </c>
      <c r="Q483" s="66">
        <f>O483+P483</f>
        <v>6000</v>
      </c>
    </row>
    <row r="484" spans="1:17" ht="31.5" x14ac:dyDescent="0.25">
      <c r="A484" s="38" t="s">
        <v>415</v>
      </c>
      <c r="B484" s="34"/>
      <c r="C484" s="34" t="s">
        <v>56</v>
      </c>
      <c r="D484" s="34" t="s">
        <v>15</v>
      </c>
      <c r="E484" s="34" t="s">
        <v>345</v>
      </c>
      <c r="F484" s="34"/>
      <c r="G484" s="39">
        <f>G485</f>
        <v>500</v>
      </c>
      <c r="I484" s="39">
        <f>I485</f>
        <v>500</v>
      </c>
      <c r="K484" s="39">
        <f>K485</f>
        <v>500</v>
      </c>
      <c r="L484" s="51"/>
      <c r="M484" s="39">
        <f>M485</f>
        <v>500</v>
      </c>
      <c r="N484" s="51"/>
      <c r="O484" s="66">
        <f>O485</f>
        <v>500</v>
      </c>
      <c r="Q484" s="66">
        <f>Q485</f>
        <v>500</v>
      </c>
    </row>
    <row r="485" spans="1:17" ht="18" customHeight="1" x14ac:dyDescent="0.25">
      <c r="A485" s="37" t="s">
        <v>303</v>
      </c>
      <c r="B485" s="34"/>
      <c r="C485" s="34" t="s">
        <v>56</v>
      </c>
      <c r="D485" s="34" t="s">
        <v>15</v>
      </c>
      <c r="E485" s="34" t="s">
        <v>345</v>
      </c>
      <c r="F485" s="34" t="s">
        <v>302</v>
      </c>
      <c r="G485" s="39">
        <v>500</v>
      </c>
      <c r="I485" s="39">
        <f>G485+H485</f>
        <v>500</v>
      </c>
      <c r="K485" s="39">
        <f>I485+J485</f>
        <v>500</v>
      </c>
      <c r="L485" s="51"/>
      <c r="M485" s="39">
        <f>K485+L485</f>
        <v>500</v>
      </c>
      <c r="N485" s="51"/>
      <c r="O485" s="66">
        <f>M485+N485</f>
        <v>500</v>
      </c>
      <c r="Q485" s="66">
        <f>O485+P485</f>
        <v>500</v>
      </c>
    </row>
    <row r="486" spans="1:17" ht="18.75" customHeight="1" x14ac:dyDescent="0.25">
      <c r="A486" s="17" t="s">
        <v>398</v>
      </c>
      <c r="B486" s="34"/>
      <c r="C486" s="34" t="s">
        <v>56</v>
      </c>
      <c r="D486" s="34" t="s">
        <v>15</v>
      </c>
      <c r="E486" s="34" t="s">
        <v>399</v>
      </c>
      <c r="F486" s="34"/>
      <c r="G486" s="39">
        <f>G487</f>
        <v>500</v>
      </c>
      <c r="I486" s="39">
        <f>I487</f>
        <v>500</v>
      </c>
      <c r="K486" s="39">
        <f>K487</f>
        <v>500</v>
      </c>
      <c r="L486" s="51"/>
      <c r="M486" s="39">
        <f>M487</f>
        <v>500</v>
      </c>
      <c r="N486" s="51"/>
      <c r="O486" s="66">
        <f>O487</f>
        <v>500</v>
      </c>
      <c r="Q486" s="66">
        <f>Q487</f>
        <v>500</v>
      </c>
    </row>
    <row r="487" spans="1:17" ht="17.25" customHeight="1" x14ac:dyDescent="0.25">
      <c r="A487" s="37" t="s">
        <v>416</v>
      </c>
      <c r="B487" s="34"/>
      <c r="C487" s="34" t="s">
        <v>56</v>
      </c>
      <c r="D487" s="34" t="s">
        <v>15</v>
      </c>
      <c r="E487" s="34" t="s">
        <v>399</v>
      </c>
      <c r="F487" s="34" t="s">
        <v>302</v>
      </c>
      <c r="G487" s="39">
        <v>500</v>
      </c>
      <c r="I487" s="39">
        <f>G487+H487</f>
        <v>500</v>
      </c>
      <c r="K487" s="39">
        <f>I487+J487</f>
        <v>500</v>
      </c>
      <c r="L487" s="51"/>
      <c r="M487" s="39">
        <f>K487+L487</f>
        <v>500</v>
      </c>
      <c r="N487" s="51"/>
      <c r="O487" s="66">
        <f>M487+N487</f>
        <v>500</v>
      </c>
      <c r="Q487" s="66">
        <f>O487+P487</f>
        <v>500</v>
      </c>
    </row>
    <row r="488" spans="1:17" x14ac:dyDescent="0.25">
      <c r="A488" s="9" t="s">
        <v>80</v>
      </c>
      <c r="B488" s="31"/>
      <c r="C488" s="31" t="s">
        <v>56</v>
      </c>
      <c r="D488" s="31" t="s">
        <v>17</v>
      </c>
      <c r="E488" s="31"/>
      <c r="F488" s="31"/>
      <c r="G488" s="40"/>
      <c r="H488" s="52"/>
      <c r="I488" s="40"/>
      <c r="J488" s="52"/>
      <c r="K488" s="40"/>
      <c r="L488" s="52"/>
      <c r="M488" s="40">
        <f>M489</f>
        <v>5807.65</v>
      </c>
      <c r="N488" s="52"/>
      <c r="O488" s="65">
        <f>O489+O491</f>
        <v>5933.86</v>
      </c>
      <c r="Q488" s="65">
        <f>Q489+Q491</f>
        <v>5933.86</v>
      </c>
    </row>
    <row r="489" spans="1:17" ht="30" x14ac:dyDescent="0.25">
      <c r="A489" s="37" t="s">
        <v>536</v>
      </c>
      <c r="B489" s="34"/>
      <c r="C489" s="34" t="s">
        <v>56</v>
      </c>
      <c r="D489" s="34" t="s">
        <v>17</v>
      </c>
      <c r="E489" s="34" t="s">
        <v>535</v>
      </c>
      <c r="F489" s="34"/>
      <c r="G489" s="39"/>
      <c r="I489" s="39"/>
      <c r="K489" s="39"/>
      <c r="L489" s="51"/>
      <c r="M489" s="39">
        <f>M490</f>
        <v>5807.65</v>
      </c>
      <c r="N489" s="51"/>
      <c r="O489" s="66">
        <f>O490</f>
        <v>5807.65</v>
      </c>
      <c r="Q489" s="66">
        <f>Q490</f>
        <v>5807.65</v>
      </c>
    </row>
    <row r="490" spans="1:17" ht="15.75" customHeight="1" x14ac:dyDescent="0.25">
      <c r="A490" s="37" t="s">
        <v>303</v>
      </c>
      <c r="B490" s="34"/>
      <c r="C490" s="34" t="s">
        <v>56</v>
      </c>
      <c r="D490" s="34" t="s">
        <v>17</v>
      </c>
      <c r="E490" s="34" t="s">
        <v>535</v>
      </c>
      <c r="F490" s="34" t="s">
        <v>302</v>
      </c>
      <c r="G490" s="39"/>
      <c r="I490" s="39"/>
      <c r="K490" s="39"/>
      <c r="L490" s="51">
        <v>5807.65</v>
      </c>
      <c r="M490" s="39">
        <f>K490+L490</f>
        <v>5807.65</v>
      </c>
      <c r="N490" s="51"/>
      <c r="O490" s="66">
        <f>M490+N490</f>
        <v>5807.65</v>
      </c>
      <c r="Q490" s="66">
        <f>O490+P490</f>
        <v>5807.65</v>
      </c>
    </row>
    <row r="491" spans="1:17" ht="13.5" customHeight="1" x14ac:dyDescent="0.25">
      <c r="A491" s="37" t="s">
        <v>639</v>
      </c>
      <c r="B491" s="34"/>
      <c r="C491" s="34" t="s">
        <v>56</v>
      </c>
      <c r="D491" s="34" t="s">
        <v>17</v>
      </c>
      <c r="E491" s="34" t="s">
        <v>598</v>
      </c>
      <c r="F491" s="34"/>
      <c r="G491" s="39"/>
      <c r="I491" s="39"/>
      <c r="K491" s="39"/>
      <c r="L491" s="51"/>
      <c r="M491" s="39"/>
      <c r="N491" s="51"/>
      <c r="O491" s="66">
        <f>O492</f>
        <v>126.21</v>
      </c>
      <c r="Q491" s="66">
        <f>Q492</f>
        <v>126.21</v>
      </c>
    </row>
    <row r="492" spans="1:17" ht="18" customHeight="1" x14ac:dyDescent="0.25">
      <c r="A492" s="37" t="s">
        <v>578</v>
      </c>
      <c r="B492" s="34"/>
      <c r="C492" s="34" t="s">
        <v>56</v>
      </c>
      <c r="D492" s="34" t="s">
        <v>17</v>
      </c>
      <c r="E492" s="34" t="s">
        <v>598</v>
      </c>
      <c r="F492" s="34" t="s">
        <v>211</v>
      </c>
      <c r="G492" s="39"/>
      <c r="I492" s="39"/>
      <c r="K492" s="39"/>
      <c r="L492" s="51"/>
      <c r="M492" s="39"/>
      <c r="N492" s="51">
        <f>126.21</f>
        <v>126.21</v>
      </c>
      <c r="O492" s="66">
        <f>M492+N492</f>
        <v>126.21</v>
      </c>
      <c r="Q492" s="66">
        <f>O492+P492</f>
        <v>126.21</v>
      </c>
    </row>
    <row r="493" spans="1:17" ht="15" customHeight="1" x14ac:dyDescent="0.25">
      <c r="A493" s="116" t="s">
        <v>315</v>
      </c>
      <c r="B493" s="31" t="s">
        <v>7</v>
      </c>
      <c r="C493" s="31"/>
      <c r="D493" s="31"/>
      <c r="E493" s="31"/>
      <c r="F493" s="31"/>
      <c r="G493" s="40">
        <f>G494</f>
        <v>1420</v>
      </c>
      <c r="I493" s="40">
        <f>I494</f>
        <v>1420</v>
      </c>
      <c r="K493" s="40">
        <f>K494</f>
        <v>1420</v>
      </c>
      <c r="L493" s="51"/>
      <c r="M493" s="58">
        <f>M494</f>
        <v>1470.1999999999998</v>
      </c>
      <c r="N493" s="51"/>
      <c r="O493" s="65">
        <f>O494</f>
        <v>1470.1999999999998</v>
      </c>
      <c r="Q493" s="65">
        <f>Q494</f>
        <v>1470.1999999999998</v>
      </c>
    </row>
    <row r="494" spans="1:17" x14ac:dyDescent="0.25">
      <c r="A494" s="36" t="s">
        <v>129</v>
      </c>
      <c r="B494" s="31"/>
      <c r="C494" s="31" t="s">
        <v>15</v>
      </c>
      <c r="D494" s="31"/>
      <c r="E494" s="34"/>
      <c r="F494" s="34"/>
      <c r="G494" s="39">
        <f>G495</f>
        <v>1420</v>
      </c>
      <c r="I494" s="39">
        <f>I495</f>
        <v>1420</v>
      </c>
      <c r="K494" s="39">
        <f>K495</f>
        <v>1420</v>
      </c>
      <c r="L494" s="51"/>
      <c r="M494" s="39">
        <f>M495</f>
        <v>1470.1999999999998</v>
      </c>
      <c r="N494" s="51"/>
      <c r="O494" s="66">
        <f>O495</f>
        <v>1470.1999999999998</v>
      </c>
      <c r="Q494" s="66">
        <f>Q495</f>
        <v>1470.1999999999998</v>
      </c>
    </row>
    <row r="495" spans="1:17" x14ac:dyDescent="0.25">
      <c r="A495" s="36" t="s">
        <v>29</v>
      </c>
      <c r="B495" s="31"/>
      <c r="C495" s="31" t="s">
        <v>15</v>
      </c>
      <c r="D495" s="31" t="s">
        <v>186</v>
      </c>
      <c r="E495" s="34"/>
      <c r="F495" s="34"/>
      <c r="G495" s="39">
        <f>G496</f>
        <v>1420</v>
      </c>
      <c r="I495" s="39">
        <f>I496</f>
        <v>1420</v>
      </c>
      <c r="K495" s="39">
        <f>K496</f>
        <v>1420</v>
      </c>
      <c r="L495" s="51"/>
      <c r="M495" s="39">
        <f>M496</f>
        <v>1470.1999999999998</v>
      </c>
      <c r="N495" s="51"/>
      <c r="O495" s="66">
        <f>O496</f>
        <v>1470.1999999999998</v>
      </c>
      <c r="Q495" s="66">
        <f>Q496</f>
        <v>1470.1999999999998</v>
      </c>
    </row>
    <row r="496" spans="1:17" x14ac:dyDescent="0.25">
      <c r="A496" s="35" t="s">
        <v>52</v>
      </c>
      <c r="B496" s="34"/>
      <c r="C496" s="34" t="s">
        <v>15</v>
      </c>
      <c r="D496" s="34" t="s">
        <v>186</v>
      </c>
      <c r="E496" s="34" t="s">
        <v>293</v>
      </c>
      <c r="F496" s="34"/>
      <c r="G496" s="39">
        <f>G497+G499+G500+G501+G502</f>
        <v>1420</v>
      </c>
      <c r="I496" s="39">
        <f>I497+I499+I500+I501+I502</f>
        <v>1420</v>
      </c>
      <c r="K496" s="39">
        <f>K497+K499+K500+K501+K502</f>
        <v>1420</v>
      </c>
      <c r="L496" s="51"/>
      <c r="M496" s="39">
        <f>M497+M499+M500+M501+M502+M498</f>
        <v>1470.1999999999998</v>
      </c>
      <c r="N496" s="51"/>
      <c r="O496" s="66">
        <f>O497+O499+O500+O501+O502+O498</f>
        <v>1470.1999999999998</v>
      </c>
      <c r="Q496" s="66">
        <f>Q497+Q499+Q500+Q501+Q502+Q498</f>
        <v>1470.1999999999998</v>
      </c>
    </row>
    <row r="497" spans="1:17" x14ac:dyDescent="0.25">
      <c r="A497" s="17" t="s">
        <v>205</v>
      </c>
      <c r="B497" s="34"/>
      <c r="C497" s="34" t="s">
        <v>15</v>
      </c>
      <c r="D497" s="34" t="s">
        <v>186</v>
      </c>
      <c r="E497" s="34" t="s">
        <v>293</v>
      </c>
      <c r="F497" s="34" t="s">
        <v>395</v>
      </c>
      <c r="G497" s="39">
        <v>1007.7</v>
      </c>
      <c r="I497" s="39">
        <f>G497+H497</f>
        <v>1007.7</v>
      </c>
      <c r="J497" s="51">
        <v>65.599999999999994</v>
      </c>
      <c r="K497" s="39">
        <f>I497+J497</f>
        <v>1073.3</v>
      </c>
      <c r="L497" s="51">
        <v>20.8</v>
      </c>
      <c r="M497" s="39">
        <f t="shared" ref="M497:M502" si="10">K497+L497</f>
        <v>1094.0999999999999</v>
      </c>
      <c r="N497" s="51"/>
      <c r="O497" s="66">
        <f t="shared" ref="O497:Q502" si="11">M497+N497</f>
        <v>1094.0999999999999</v>
      </c>
      <c r="Q497" s="66">
        <f t="shared" si="11"/>
        <v>1094.0999999999999</v>
      </c>
    </row>
    <row r="498" spans="1:17" x14ac:dyDescent="0.25">
      <c r="A498" s="17" t="s">
        <v>207</v>
      </c>
      <c r="B498" s="34"/>
      <c r="C498" s="34" t="s">
        <v>15</v>
      </c>
      <c r="D498" s="34" t="s">
        <v>186</v>
      </c>
      <c r="E498" s="34" t="s">
        <v>293</v>
      </c>
      <c r="F498" s="34" t="s">
        <v>396</v>
      </c>
      <c r="G498" s="39"/>
      <c r="I498" s="39"/>
      <c r="K498" s="39"/>
      <c r="L498" s="51">
        <v>0.5</v>
      </c>
      <c r="M498" s="39">
        <f t="shared" si="10"/>
        <v>0.5</v>
      </c>
      <c r="N498" s="51"/>
      <c r="O498" s="66">
        <f t="shared" si="11"/>
        <v>0.5</v>
      </c>
      <c r="Q498" s="66">
        <f t="shared" si="11"/>
        <v>0.5</v>
      </c>
    </row>
    <row r="499" spans="1:17" ht="18" customHeight="1" x14ac:dyDescent="0.25">
      <c r="A499" s="17" t="s">
        <v>209</v>
      </c>
      <c r="B499" s="34"/>
      <c r="C499" s="34" t="s">
        <v>15</v>
      </c>
      <c r="D499" s="34" t="s">
        <v>186</v>
      </c>
      <c r="E499" s="34" t="s">
        <v>293</v>
      </c>
      <c r="F499" s="34" t="s">
        <v>210</v>
      </c>
      <c r="G499" s="39">
        <v>238.7</v>
      </c>
      <c r="I499" s="39">
        <f>G499+H499</f>
        <v>238.7</v>
      </c>
      <c r="J499" s="51">
        <v>-58.7</v>
      </c>
      <c r="K499" s="39">
        <f>I499+J499</f>
        <v>180</v>
      </c>
      <c r="L499" s="51">
        <v>22.2</v>
      </c>
      <c r="M499" s="39">
        <f t="shared" si="10"/>
        <v>202.2</v>
      </c>
      <c r="N499" s="51"/>
      <c r="O499" s="66">
        <f t="shared" si="11"/>
        <v>202.2</v>
      </c>
      <c r="Q499" s="66">
        <f t="shared" si="11"/>
        <v>202.2</v>
      </c>
    </row>
    <row r="500" spans="1:17" x14ac:dyDescent="0.25">
      <c r="A500" s="37" t="s">
        <v>225</v>
      </c>
      <c r="B500" s="34"/>
      <c r="C500" s="34" t="s">
        <v>15</v>
      </c>
      <c r="D500" s="34" t="s">
        <v>186</v>
      </c>
      <c r="E500" s="34" t="s">
        <v>293</v>
      </c>
      <c r="F500" s="34" t="s">
        <v>211</v>
      </c>
      <c r="G500" s="39">
        <v>173.6</v>
      </c>
      <c r="I500" s="39">
        <f>G500+H500</f>
        <v>173.6</v>
      </c>
      <c r="J500" s="51">
        <v>-7.9</v>
      </c>
      <c r="K500" s="39">
        <f>I500+J500</f>
        <v>165.7</v>
      </c>
      <c r="L500" s="51">
        <v>6.7</v>
      </c>
      <c r="M500" s="39">
        <f t="shared" si="10"/>
        <v>172.39999999999998</v>
      </c>
      <c r="N500" s="51"/>
      <c r="O500" s="66">
        <f t="shared" si="11"/>
        <v>172.39999999999998</v>
      </c>
      <c r="Q500" s="66">
        <f t="shared" si="11"/>
        <v>172.39999999999998</v>
      </c>
    </row>
    <row r="501" spans="1:17" x14ac:dyDescent="0.25">
      <c r="A501" s="43" t="s">
        <v>319</v>
      </c>
      <c r="B501" s="34"/>
      <c r="C501" s="34" t="s">
        <v>15</v>
      </c>
      <c r="D501" s="34" t="s">
        <v>186</v>
      </c>
      <c r="E501" s="34" t="s">
        <v>293</v>
      </c>
      <c r="F501" s="34" t="s">
        <v>318</v>
      </c>
      <c r="G501" s="39"/>
      <c r="I501" s="39">
        <f>G501+H501</f>
        <v>0</v>
      </c>
      <c r="K501" s="39">
        <f>I501+J501</f>
        <v>0</v>
      </c>
      <c r="L501" s="51">
        <v>0.75</v>
      </c>
      <c r="M501" s="39">
        <f t="shared" si="10"/>
        <v>0.75</v>
      </c>
      <c r="N501" s="51"/>
      <c r="O501" s="66">
        <f t="shared" si="11"/>
        <v>0.75</v>
      </c>
      <c r="Q501" s="66">
        <f t="shared" si="11"/>
        <v>0.75</v>
      </c>
    </row>
    <row r="502" spans="1:17" x14ac:dyDescent="0.25">
      <c r="A502" s="43" t="s">
        <v>301</v>
      </c>
      <c r="B502" s="34"/>
      <c r="C502" s="34" t="s">
        <v>15</v>
      </c>
      <c r="D502" s="34" t="s">
        <v>186</v>
      </c>
      <c r="E502" s="34" t="s">
        <v>293</v>
      </c>
      <c r="F502" s="34" t="s">
        <v>300</v>
      </c>
      <c r="G502" s="39"/>
      <c r="I502" s="39">
        <f>G502+H502</f>
        <v>0</v>
      </c>
      <c r="J502" s="51">
        <v>1</v>
      </c>
      <c r="K502" s="39">
        <f>I502+J502</f>
        <v>1</v>
      </c>
      <c r="L502" s="51">
        <v>-0.75</v>
      </c>
      <c r="M502" s="39">
        <f t="shared" si="10"/>
        <v>0.25</v>
      </c>
      <c r="N502" s="51"/>
      <c r="O502" s="66">
        <f t="shared" si="11"/>
        <v>0.25</v>
      </c>
      <c r="Q502" s="66">
        <f t="shared" si="11"/>
        <v>0.25</v>
      </c>
    </row>
    <row r="503" spans="1:17" ht="30.75" customHeight="1" x14ac:dyDescent="0.25">
      <c r="A503" s="116" t="s">
        <v>316</v>
      </c>
      <c r="B503" s="31" t="s">
        <v>317</v>
      </c>
      <c r="C503" s="31"/>
      <c r="D503" s="31"/>
      <c r="E503" s="31"/>
      <c r="F503" s="31"/>
      <c r="G503" s="40">
        <f>G508</f>
        <v>1240.9000000000001</v>
      </c>
      <c r="I503" s="40">
        <f>I508</f>
        <v>1240.9000000000001</v>
      </c>
      <c r="K503" s="40">
        <f>K508</f>
        <v>1240.9000000000001</v>
      </c>
      <c r="L503" s="51"/>
      <c r="M503" s="58">
        <f>M508+M505</f>
        <v>17352.650000000001</v>
      </c>
      <c r="N503" s="51"/>
      <c r="O503" s="65">
        <f>O508+O505</f>
        <v>17352.650000000001</v>
      </c>
      <c r="Q503" s="65">
        <f>Q508+Q505</f>
        <v>17352.650000000001</v>
      </c>
    </row>
    <row r="504" spans="1:17" ht="15.75" customHeight="1" x14ac:dyDescent="0.25">
      <c r="A504" s="56" t="s">
        <v>42</v>
      </c>
      <c r="B504" s="34"/>
      <c r="C504" s="34" t="s">
        <v>24</v>
      </c>
      <c r="D504" s="34"/>
      <c r="E504" s="34"/>
      <c r="F504" s="34"/>
      <c r="G504" s="39"/>
      <c r="I504" s="39"/>
      <c r="K504" s="39"/>
      <c r="L504" s="51"/>
      <c r="M504" s="39">
        <f>M505</f>
        <v>23.5</v>
      </c>
      <c r="N504" s="51"/>
      <c r="O504" s="66">
        <f>O505</f>
        <v>23.5</v>
      </c>
      <c r="Q504" s="66">
        <f>Q505</f>
        <v>23.5</v>
      </c>
    </row>
    <row r="505" spans="1:17" ht="15.75" customHeight="1" x14ac:dyDescent="0.25">
      <c r="A505" s="9" t="s">
        <v>166</v>
      </c>
      <c r="B505" s="34"/>
      <c r="C505" s="34" t="s">
        <v>24</v>
      </c>
      <c r="D505" s="34" t="s">
        <v>27</v>
      </c>
      <c r="E505" s="34"/>
      <c r="F505" s="34"/>
      <c r="G505" s="39"/>
      <c r="I505" s="39"/>
      <c r="K505" s="39"/>
      <c r="L505" s="51"/>
      <c r="M505" s="39">
        <f>M506</f>
        <v>23.5</v>
      </c>
      <c r="N505" s="51"/>
      <c r="O505" s="66">
        <f>O506</f>
        <v>23.5</v>
      </c>
      <c r="Q505" s="66">
        <f>Q506</f>
        <v>23.5</v>
      </c>
    </row>
    <row r="506" spans="1:17" ht="31.5" customHeight="1" x14ac:dyDescent="0.25">
      <c r="A506" s="1" t="s">
        <v>356</v>
      </c>
      <c r="B506" s="34"/>
      <c r="C506" s="34" t="s">
        <v>24</v>
      </c>
      <c r="D506" s="34" t="s">
        <v>27</v>
      </c>
      <c r="E506" s="34" t="s">
        <v>310</v>
      </c>
      <c r="F506" s="34"/>
      <c r="G506" s="39"/>
      <c r="I506" s="39"/>
      <c r="K506" s="39"/>
      <c r="L506" s="51"/>
      <c r="M506" s="39">
        <f>M507</f>
        <v>23.5</v>
      </c>
      <c r="N506" s="51"/>
      <c r="O506" s="66">
        <f>O507</f>
        <v>23.5</v>
      </c>
      <c r="Q506" s="66">
        <f>Q507</f>
        <v>23.5</v>
      </c>
    </row>
    <row r="507" spans="1:17" ht="15.75" customHeight="1" x14ac:dyDescent="0.25">
      <c r="A507" s="37" t="s">
        <v>225</v>
      </c>
      <c r="B507" s="34"/>
      <c r="C507" s="34" t="s">
        <v>24</v>
      </c>
      <c r="D507" s="34" t="s">
        <v>27</v>
      </c>
      <c r="E507" s="34" t="s">
        <v>310</v>
      </c>
      <c r="F507" s="34" t="s">
        <v>211</v>
      </c>
      <c r="G507" s="39"/>
      <c r="I507" s="39"/>
      <c r="K507" s="39"/>
      <c r="L507" s="51">
        <v>23.5</v>
      </c>
      <c r="M507" s="39">
        <f>K507+L507</f>
        <v>23.5</v>
      </c>
      <c r="N507" s="51"/>
      <c r="O507" s="66">
        <f>M507+N507</f>
        <v>23.5</v>
      </c>
      <c r="Q507" s="66">
        <f>O507+P507</f>
        <v>23.5</v>
      </c>
    </row>
    <row r="508" spans="1:17" x14ac:dyDescent="0.25">
      <c r="A508" s="30" t="s">
        <v>45</v>
      </c>
      <c r="B508" s="31"/>
      <c r="C508" s="31" t="s">
        <v>46</v>
      </c>
      <c r="D508" s="31"/>
      <c r="E508" s="31"/>
      <c r="F508" s="31"/>
      <c r="G508" s="40">
        <f>G527</f>
        <v>1240.9000000000001</v>
      </c>
      <c r="I508" s="40">
        <f>I527</f>
        <v>1240.9000000000001</v>
      </c>
      <c r="K508" s="40">
        <f>K527</f>
        <v>1240.9000000000001</v>
      </c>
      <c r="L508" s="51"/>
      <c r="M508" s="40">
        <f>M527+M509+M512+M518</f>
        <v>17329.150000000001</v>
      </c>
      <c r="N508" s="51"/>
      <c r="O508" s="65">
        <f>O527+O509+O512+O518</f>
        <v>17329.150000000001</v>
      </c>
      <c r="Q508" s="65">
        <f>Q527+Q509+Q512+Q518</f>
        <v>17329.150000000001</v>
      </c>
    </row>
    <row r="509" spans="1:17" x14ac:dyDescent="0.25">
      <c r="A509" s="30" t="s">
        <v>472</v>
      </c>
      <c r="B509" s="34"/>
      <c r="C509" s="31" t="s">
        <v>46</v>
      </c>
      <c r="D509" s="31" t="s">
        <v>15</v>
      </c>
      <c r="E509" s="31"/>
      <c r="F509" s="31"/>
      <c r="G509" s="40"/>
      <c r="H509" s="52"/>
      <c r="I509" s="40"/>
      <c r="J509" s="52"/>
      <c r="K509" s="40"/>
      <c r="L509" s="52"/>
      <c r="M509" s="40">
        <f>M510</f>
        <v>0</v>
      </c>
      <c r="N509" s="52"/>
      <c r="O509" s="65">
        <f>O510</f>
        <v>0</v>
      </c>
      <c r="Q509" s="65">
        <f>Q510</f>
        <v>0</v>
      </c>
    </row>
    <row r="510" spans="1:17" x14ac:dyDescent="0.25">
      <c r="A510" s="35" t="s">
        <v>471</v>
      </c>
      <c r="B510" s="34"/>
      <c r="C510" s="34" t="s">
        <v>46</v>
      </c>
      <c r="D510" s="34" t="s">
        <v>15</v>
      </c>
      <c r="E510" s="34" t="s">
        <v>450</v>
      </c>
      <c r="F510" s="34"/>
      <c r="G510" s="39"/>
      <c r="I510" s="39"/>
      <c r="K510" s="39"/>
      <c r="L510" s="51"/>
      <c r="M510" s="39">
        <f>M511</f>
        <v>0</v>
      </c>
      <c r="N510" s="51"/>
      <c r="O510" s="66">
        <f>O511</f>
        <v>0</v>
      </c>
      <c r="Q510" s="66">
        <f>Q511</f>
        <v>0</v>
      </c>
    </row>
    <row r="511" spans="1:17" ht="31.5" customHeight="1" x14ac:dyDescent="0.25">
      <c r="A511" s="38" t="s">
        <v>452</v>
      </c>
      <c r="B511" s="34"/>
      <c r="C511" s="34" t="s">
        <v>46</v>
      </c>
      <c r="D511" s="34" t="s">
        <v>15</v>
      </c>
      <c r="E511" s="34" t="s">
        <v>450</v>
      </c>
      <c r="F511" s="34" t="s">
        <v>451</v>
      </c>
      <c r="G511" s="39"/>
      <c r="I511" s="39"/>
      <c r="K511" s="39"/>
      <c r="L511" s="51"/>
      <c r="M511" s="39">
        <f>K511+L511</f>
        <v>0</v>
      </c>
      <c r="N511" s="51"/>
      <c r="O511" s="66">
        <f>M511+N511</f>
        <v>0</v>
      </c>
      <c r="Q511" s="66">
        <f>O511+P511</f>
        <v>0</v>
      </c>
    </row>
    <row r="512" spans="1:17" x14ac:dyDescent="0.25">
      <c r="A512" s="30" t="s">
        <v>473</v>
      </c>
      <c r="B512" s="34"/>
      <c r="C512" s="31" t="s">
        <v>46</v>
      </c>
      <c r="D512" s="31" t="s">
        <v>17</v>
      </c>
      <c r="E512" s="31"/>
      <c r="F512" s="31"/>
      <c r="G512" s="40"/>
      <c r="H512" s="52"/>
      <c r="I512" s="40"/>
      <c r="J512" s="52"/>
      <c r="K512" s="40"/>
      <c r="L512" s="52"/>
      <c r="M512" s="40">
        <f>M513+M515</f>
        <v>4190.3999999999996</v>
      </c>
      <c r="N512" s="52"/>
      <c r="O512" s="65">
        <f>O513+O515</f>
        <v>4190.3999999999996</v>
      </c>
      <c r="Q512" s="65">
        <f>Q513+Q515</f>
        <v>4190.3999999999996</v>
      </c>
    </row>
    <row r="513" spans="1:17" x14ac:dyDescent="0.25">
      <c r="A513" s="35" t="s">
        <v>474</v>
      </c>
      <c r="B513" s="34"/>
      <c r="C513" s="34" t="s">
        <v>46</v>
      </c>
      <c r="D513" s="34" t="s">
        <v>17</v>
      </c>
      <c r="E513" s="34" t="s">
        <v>341</v>
      </c>
      <c r="F513" s="34"/>
      <c r="G513" s="39"/>
      <c r="I513" s="39"/>
      <c r="K513" s="39"/>
      <c r="L513" s="51"/>
      <c r="M513" s="39">
        <f>M514</f>
        <v>4012.4</v>
      </c>
      <c r="N513" s="51"/>
      <c r="O513" s="66">
        <f>O514</f>
        <v>4012.4</v>
      </c>
      <c r="Q513" s="66">
        <f>Q514</f>
        <v>4012.4</v>
      </c>
    </row>
    <row r="514" spans="1:17" x14ac:dyDescent="0.25">
      <c r="A514" s="37" t="s">
        <v>225</v>
      </c>
      <c r="B514" s="34"/>
      <c r="C514" s="34" t="s">
        <v>46</v>
      </c>
      <c r="D514" s="34" t="s">
        <v>17</v>
      </c>
      <c r="E514" s="34" t="s">
        <v>341</v>
      </c>
      <c r="F514" s="34" t="s">
        <v>211</v>
      </c>
      <c r="G514" s="39"/>
      <c r="I514" s="39"/>
      <c r="K514" s="39"/>
      <c r="L514" s="51">
        <v>4012.4</v>
      </c>
      <c r="M514" s="39">
        <f>K514+L514</f>
        <v>4012.4</v>
      </c>
      <c r="N514" s="51"/>
      <c r="O514" s="66">
        <f>M514+N514</f>
        <v>4012.4</v>
      </c>
      <c r="Q514" s="66">
        <f>O514+P514</f>
        <v>4012.4</v>
      </c>
    </row>
    <row r="515" spans="1:17" ht="31.5" x14ac:dyDescent="0.25">
      <c r="A515" s="38" t="s">
        <v>476</v>
      </c>
      <c r="B515" s="34"/>
      <c r="C515" s="34" t="s">
        <v>46</v>
      </c>
      <c r="D515" s="34" t="s">
        <v>17</v>
      </c>
      <c r="E515" s="34" t="s">
        <v>475</v>
      </c>
      <c r="F515" s="34"/>
      <c r="G515" s="39"/>
      <c r="I515" s="39"/>
      <c r="K515" s="39"/>
      <c r="L515" s="51"/>
      <c r="M515" s="39">
        <f>M516+M517</f>
        <v>178</v>
      </c>
      <c r="N515" s="51"/>
      <c r="O515" s="66">
        <f>O516+O517</f>
        <v>178</v>
      </c>
      <c r="Q515" s="66">
        <f>Q516+Q517</f>
        <v>178</v>
      </c>
    </row>
    <row r="516" spans="1:17" x14ac:dyDescent="0.25">
      <c r="A516" s="37" t="s">
        <v>225</v>
      </c>
      <c r="B516" s="34"/>
      <c r="C516" s="34" t="s">
        <v>46</v>
      </c>
      <c r="D516" s="34" t="s">
        <v>17</v>
      </c>
      <c r="E516" s="34" t="s">
        <v>475</v>
      </c>
      <c r="F516" s="34" t="s">
        <v>211</v>
      </c>
      <c r="G516" s="39"/>
      <c r="I516" s="39"/>
      <c r="K516" s="39"/>
      <c r="L516" s="51">
        <v>140</v>
      </c>
      <c r="M516" s="39">
        <f>K516+L516</f>
        <v>140</v>
      </c>
      <c r="N516" s="51"/>
      <c r="O516" s="66">
        <f>M516+N516</f>
        <v>140</v>
      </c>
      <c r="Q516" s="66">
        <f>O516+P516</f>
        <v>140</v>
      </c>
    </row>
    <row r="517" spans="1:17" x14ac:dyDescent="0.25">
      <c r="A517" s="37" t="s">
        <v>542</v>
      </c>
      <c r="B517" s="34"/>
      <c r="C517" s="34" t="s">
        <v>46</v>
      </c>
      <c r="D517" s="34" t="s">
        <v>17</v>
      </c>
      <c r="E517" s="34" t="s">
        <v>541</v>
      </c>
      <c r="F517" s="34" t="s">
        <v>211</v>
      </c>
      <c r="G517" s="39"/>
      <c r="I517" s="39"/>
      <c r="K517" s="39"/>
      <c r="L517" s="51">
        <v>38</v>
      </c>
      <c r="M517" s="39">
        <f>K517+L517</f>
        <v>38</v>
      </c>
      <c r="N517" s="51"/>
      <c r="O517" s="66">
        <f>M517+N517</f>
        <v>38</v>
      </c>
      <c r="Q517" s="66">
        <f>O517+P517</f>
        <v>38</v>
      </c>
    </row>
    <row r="518" spans="1:17" x14ac:dyDescent="0.25">
      <c r="A518" s="32" t="s">
        <v>48</v>
      </c>
      <c r="B518" s="34"/>
      <c r="C518" s="31" t="s">
        <v>46</v>
      </c>
      <c r="D518" s="31" t="s">
        <v>20</v>
      </c>
      <c r="E518" s="31"/>
      <c r="F518" s="31"/>
      <c r="G518" s="40"/>
      <c r="H518" s="52"/>
      <c r="I518" s="40"/>
      <c r="J518" s="52"/>
      <c r="K518" s="40"/>
      <c r="L518" s="52"/>
      <c r="M518" s="40">
        <f>M519+M521+M523+M525</f>
        <v>8784.7000000000007</v>
      </c>
      <c r="N518" s="52"/>
      <c r="O518" s="65">
        <f>O519+O521+O523+O525</f>
        <v>8784.7000000000007</v>
      </c>
      <c r="Q518" s="65">
        <f>Q519+Q521+Q523+Q525</f>
        <v>8784.7000000000007</v>
      </c>
    </row>
    <row r="519" spans="1:17" x14ac:dyDescent="0.25">
      <c r="A519" s="38" t="s">
        <v>478</v>
      </c>
      <c r="B519" s="34"/>
      <c r="C519" s="34" t="s">
        <v>46</v>
      </c>
      <c r="D519" s="34" t="s">
        <v>20</v>
      </c>
      <c r="E519" s="34" t="s">
        <v>477</v>
      </c>
      <c r="F519" s="34"/>
      <c r="G519" s="39"/>
      <c r="I519" s="39"/>
      <c r="K519" s="39"/>
      <c r="L519" s="51"/>
      <c r="M519" s="39">
        <f>M520</f>
        <v>2705.5</v>
      </c>
      <c r="N519" s="51"/>
      <c r="O519" s="66">
        <f>O520</f>
        <v>2705.5</v>
      </c>
      <c r="Q519" s="66">
        <f>Q520</f>
        <v>2705.5</v>
      </c>
    </row>
    <row r="520" spans="1:17" x14ac:dyDescent="0.25">
      <c r="A520" s="37" t="s">
        <v>225</v>
      </c>
      <c r="B520" s="34"/>
      <c r="C520" s="34" t="s">
        <v>46</v>
      </c>
      <c r="D520" s="34" t="s">
        <v>20</v>
      </c>
      <c r="E520" s="34" t="s">
        <v>477</v>
      </c>
      <c r="F520" s="34" t="s">
        <v>211</v>
      </c>
      <c r="G520" s="39"/>
      <c r="I520" s="39"/>
      <c r="K520" s="39"/>
      <c r="L520" s="51">
        <v>2705.5</v>
      </c>
      <c r="M520" s="39">
        <f>K520+L520</f>
        <v>2705.5</v>
      </c>
      <c r="N520" s="51"/>
      <c r="O520" s="66">
        <f>M520+N520</f>
        <v>2705.5</v>
      </c>
      <c r="Q520" s="66">
        <f>O520+P520</f>
        <v>2705.5</v>
      </c>
    </row>
    <row r="521" spans="1:17" ht="30.75" customHeight="1" x14ac:dyDescent="0.25">
      <c r="A521" s="38" t="s">
        <v>480</v>
      </c>
      <c r="B521" s="34"/>
      <c r="C521" s="34" t="s">
        <v>46</v>
      </c>
      <c r="D521" s="34" t="s">
        <v>20</v>
      </c>
      <c r="E521" s="34" t="s">
        <v>479</v>
      </c>
      <c r="F521" s="34"/>
      <c r="G521" s="39"/>
      <c r="I521" s="39"/>
      <c r="K521" s="39"/>
      <c r="L521" s="51"/>
      <c r="M521" s="39">
        <f>M522</f>
        <v>207.4</v>
      </c>
      <c r="N521" s="51"/>
      <c r="O521" s="66">
        <f>O522</f>
        <v>207.4</v>
      </c>
      <c r="Q521" s="66">
        <f>Q522</f>
        <v>207.4</v>
      </c>
    </row>
    <row r="522" spans="1:17" x14ac:dyDescent="0.25">
      <c r="A522" s="37" t="s">
        <v>225</v>
      </c>
      <c r="B522" s="34"/>
      <c r="C522" s="34" t="s">
        <v>46</v>
      </c>
      <c r="D522" s="34" t="s">
        <v>20</v>
      </c>
      <c r="E522" s="34" t="s">
        <v>479</v>
      </c>
      <c r="F522" s="34" t="s">
        <v>211</v>
      </c>
      <c r="G522" s="39"/>
      <c r="I522" s="39"/>
      <c r="K522" s="39"/>
      <c r="L522" s="51">
        <v>207.4</v>
      </c>
      <c r="M522" s="39">
        <f>K522+L522</f>
        <v>207.4</v>
      </c>
      <c r="N522" s="51"/>
      <c r="O522" s="66">
        <f>M522+N522</f>
        <v>207.4</v>
      </c>
      <c r="Q522" s="66">
        <f>O522+P522</f>
        <v>207.4</v>
      </c>
    </row>
    <row r="523" spans="1:17" x14ac:dyDescent="0.25">
      <c r="A523" s="35" t="s">
        <v>99</v>
      </c>
      <c r="B523" s="34"/>
      <c r="C523" s="34" t="s">
        <v>46</v>
      </c>
      <c r="D523" s="34" t="s">
        <v>20</v>
      </c>
      <c r="E523" s="34" t="s">
        <v>397</v>
      </c>
      <c r="F523" s="34"/>
      <c r="G523" s="39"/>
      <c r="I523" s="39"/>
      <c r="K523" s="39"/>
      <c r="L523" s="51"/>
      <c r="M523" s="39">
        <f>M524</f>
        <v>280</v>
      </c>
      <c r="N523" s="51"/>
      <c r="O523" s="66">
        <f>O524</f>
        <v>280</v>
      </c>
      <c r="Q523" s="66">
        <f>Q524</f>
        <v>280</v>
      </c>
    </row>
    <row r="524" spans="1:17" x14ac:dyDescent="0.25">
      <c r="A524" s="37" t="s">
        <v>225</v>
      </c>
      <c r="B524" s="34"/>
      <c r="C524" s="34" t="s">
        <v>46</v>
      </c>
      <c r="D524" s="34" t="s">
        <v>20</v>
      </c>
      <c r="E524" s="34" t="s">
        <v>397</v>
      </c>
      <c r="F524" s="34" t="s">
        <v>211</v>
      </c>
      <c r="G524" s="39"/>
      <c r="I524" s="39"/>
      <c r="K524" s="39"/>
      <c r="L524" s="51">
        <v>280</v>
      </c>
      <c r="M524" s="39">
        <f>K524+L524</f>
        <v>280</v>
      </c>
      <c r="N524" s="51"/>
      <c r="O524" s="66">
        <f>M524+N524</f>
        <v>280</v>
      </c>
      <c r="Q524" s="66">
        <f>O524+P524</f>
        <v>280</v>
      </c>
    </row>
    <row r="525" spans="1:17" x14ac:dyDescent="0.25">
      <c r="A525" s="38" t="s">
        <v>49</v>
      </c>
      <c r="B525" s="34"/>
      <c r="C525" s="34" t="s">
        <v>46</v>
      </c>
      <c r="D525" s="34" t="s">
        <v>20</v>
      </c>
      <c r="E525" s="34" t="s">
        <v>481</v>
      </c>
      <c r="F525" s="34"/>
      <c r="G525" s="39"/>
      <c r="I525" s="39"/>
      <c r="K525" s="39"/>
      <c r="L525" s="51"/>
      <c r="M525" s="39">
        <f>M526</f>
        <v>5591.8</v>
      </c>
      <c r="N525" s="51"/>
      <c r="O525" s="66">
        <f>O526</f>
        <v>5591.8</v>
      </c>
      <c r="Q525" s="66">
        <f>Q526</f>
        <v>5591.8</v>
      </c>
    </row>
    <row r="526" spans="1:17" x14ac:dyDescent="0.25">
      <c r="A526" s="37" t="s">
        <v>225</v>
      </c>
      <c r="B526" s="34"/>
      <c r="C526" s="34" t="s">
        <v>46</v>
      </c>
      <c r="D526" s="34" t="s">
        <v>20</v>
      </c>
      <c r="E526" s="34" t="s">
        <v>481</v>
      </c>
      <c r="F526" s="34" t="s">
        <v>211</v>
      </c>
      <c r="G526" s="39"/>
      <c r="I526" s="39"/>
      <c r="K526" s="39"/>
      <c r="L526" s="51">
        <f>5300.8+291</f>
        <v>5591.8</v>
      </c>
      <c r="M526" s="39">
        <f>K526+L526</f>
        <v>5591.8</v>
      </c>
      <c r="N526" s="51"/>
      <c r="O526" s="66">
        <f>M526+N526</f>
        <v>5591.8</v>
      </c>
      <c r="Q526" s="66">
        <f>O526+P526</f>
        <v>5591.8</v>
      </c>
    </row>
    <row r="527" spans="1:17" ht="15.75" customHeight="1" x14ac:dyDescent="0.25">
      <c r="A527" s="33" t="s">
        <v>51</v>
      </c>
      <c r="B527" s="31"/>
      <c r="C527" s="31" t="s">
        <v>46</v>
      </c>
      <c r="D527" s="31" t="s">
        <v>46</v>
      </c>
      <c r="E527" s="31"/>
      <c r="F527" s="31"/>
      <c r="G527" s="40">
        <f>G528</f>
        <v>1240.9000000000001</v>
      </c>
      <c r="I527" s="40">
        <f>I528</f>
        <v>1240.9000000000001</v>
      </c>
      <c r="K527" s="40">
        <f>K528</f>
        <v>1240.9000000000001</v>
      </c>
      <c r="L527" s="51"/>
      <c r="M527" s="40">
        <f>M528</f>
        <v>4354.05</v>
      </c>
      <c r="N527" s="51"/>
      <c r="O527" s="65">
        <f>O528</f>
        <v>4354.05</v>
      </c>
      <c r="Q527" s="65">
        <f>Q528</f>
        <v>4354.05</v>
      </c>
    </row>
    <row r="528" spans="1:17" x14ac:dyDescent="0.25">
      <c r="A528" s="35" t="s">
        <v>52</v>
      </c>
      <c r="B528" s="34"/>
      <c r="C528" s="34" t="s">
        <v>46</v>
      </c>
      <c r="D528" s="34" t="s">
        <v>46</v>
      </c>
      <c r="E528" s="34" t="s">
        <v>261</v>
      </c>
      <c r="F528" s="34"/>
      <c r="G528" s="39">
        <f>G529+G531</f>
        <v>1240.9000000000001</v>
      </c>
      <c r="I528" s="39">
        <f>I529+I531</f>
        <v>1240.9000000000001</v>
      </c>
      <c r="K528" s="39">
        <f>K529+K531</f>
        <v>1240.9000000000001</v>
      </c>
      <c r="L528" s="51"/>
      <c r="M528" s="39">
        <f>M529+M531+M532+M533+M530</f>
        <v>4354.05</v>
      </c>
      <c r="N528" s="51"/>
      <c r="O528" s="66">
        <f>O529+O531+O532+O533+O530</f>
        <v>4354.05</v>
      </c>
      <c r="Q528" s="66">
        <f>Q529+Q531+Q532+Q533+Q530</f>
        <v>4354.05</v>
      </c>
    </row>
    <row r="529" spans="1:17" x14ac:dyDescent="0.25">
      <c r="A529" s="17" t="s">
        <v>205</v>
      </c>
      <c r="B529" s="34"/>
      <c r="C529" s="34" t="s">
        <v>46</v>
      </c>
      <c r="D529" s="34" t="s">
        <v>46</v>
      </c>
      <c r="E529" s="34" t="s">
        <v>261</v>
      </c>
      <c r="F529" s="34" t="s">
        <v>395</v>
      </c>
      <c r="G529" s="39">
        <v>1240.9000000000001</v>
      </c>
      <c r="I529" s="39">
        <f>G529+H529</f>
        <v>1240.9000000000001</v>
      </c>
      <c r="J529" s="51">
        <v>-132.5</v>
      </c>
      <c r="K529" s="39">
        <f>I529+J529</f>
        <v>1108.4000000000001</v>
      </c>
      <c r="L529" s="51">
        <f>2568.65+239.6</f>
        <v>2808.25</v>
      </c>
      <c r="M529" s="39">
        <f>K529+L529</f>
        <v>3916.65</v>
      </c>
      <c r="N529" s="51"/>
      <c r="O529" s="66">
        <f>M529+N529</f>
        <v>3916.65</v>
      </c>
      <c r="Q529" s="66">
        <f>O529+P529</f>
        <v>3916.65</v>
      </c>
    </row>
    <row r="530" spans="1:17" ht="30" customHeight="1" x14ac:dyDescent="0.25">
      <c r="A530" s="17" t="s">
        <v>569</v>
      </c>
      <c r="B530" s="34"/>
      <c r="C530" s="34" t="s">
        <v>46</v>
      </c>
      <c r="D530" s="34" t="s">
        <v>46</v>
      </c>
      <c r="E530" s="34" t="s">
        <v>261</v>
      </c>
      <c r="F530" s="34" t="s">
        <v>396</v>
      </c>
      <c r="G530" s="39"/>
      <c r="I530" s="39"/>
      <c r="K530" s="39"/>
      <c r="L530" s="51">
        <v>30</v>
      </c>
      <c r="M530" s="39">
        <f>K530+L530</f>
        <v>30</v>
      </c>
      <c r="N530" s="51"/>
      <c r="O530" s="66">
        <f>M530+N530</f>
        <v>30</v>
      </c>
      <c r="Q530" s="66">
        <f>O530+P530</f>
        <v>30</v>
      </c>
    </row>
    <row r="531" spans="1:17" x14ac:dyDescent="0.25">
      <c r="A531" s="37" t="s">
        <v>225</v>
      </c>
      <c r="B531" s="34"/>
      <c r="C531" s="34" t="s">
        <v>46</v>
      </c>
      <c r="D531" s="34" t="s">
        <v>46</v>
      </c>
      <c r="E531" s="34" t="s">
        <v>261</v>
      </c>
      <c r="F531" s="34" t="s">
        <v>211</v>
      </c>
      <c r="G531" s="39"/>
      <c r="I531" s="39">
        <f>G531+H531</f>
        <v>0</v>
      </c>
      <c r="J531" s="51">
        <v>132.5</v>
      </c>
      <c r="K531" s="39">
        <f>I531+J531</f>
        <v>132.5</v>
      </c>
      <c r="L531" s="51">
        <f>-82.5+38</f>
        <v>-44.5</v>
      </c>
      <c r="M531" s="39">
        <f>K531+L531</f>
        <v>88</v>
      </c>
      <c r="N531" s="51"/>
      <c r="O531" s="66">
        <f>M531+N531</f>
        <v>88</v>
      </c>
      <c r="Q531" s="66">
        <f>O531+P531</f>
        <v>88</v>
      </c>
    </row>
    <row r="532" spans="1:17" x14ac:dyDescent="0.25">
      <c r="A532" s="43" t="s">
        <v>319</v>
      </c>
      <c r="B532" s="34"/>
      <c r="C532" s="34" t="s">
        <v>46</v>
      </c>
      <c r="D532" s="34" t="s">
        <v>46</v>
      </c>
      <c r="E532" s="34" t="s">
        <v>261</v>
      </c>
      <c r="F532" s="34" t="s">
        <v>318</v>
      </c>
      <c r="G532" s="39"/>
      <c r="I532" s="39"/>
      <c r="K532" s="39"/>
      <c r="L532" s="51">
        <v>232.9</v>
      </c>
      <c r="M532" s="39">
        <f>K532+L532</f>
        <v>232.9</v>
      </c>
      <c r="N532" s="51"/>
      <c r="O532" s="66">
        <f>M532+N532</f>
        <v>232.9</v>
      </c>
      <c r="Q532" s="66">
        <f>O532+P532</f>
        <v>232.9</v>
      </c>
    </row>
    <row r="533" spans="1:17" x14ac:dyDescent="0.25">
      <c r="A533" s="43" t="s">
        <v>301</v>
      </c>
      <c r="B533" s="34"/>
      <c r="C533" s="34" t="s">
        <v>46</v>
      </c>
      <c r="D533" s="34" t="s">
        <v>46</v>
      </c>
      <c r="E533" s="34" t="s">
        <v>261</v>
      </c>
      <c r="F533" s="34" t="s">
        <v>300</v>
      </c>
      <c r="G533" s="39"/>
      <c r="I533" s="39"/>
      <c r="K533" s="39"/>
      <c r="L533" s="51">
        <v>86.5</v>
      </c>
      <c r="M533" s="39">
        <f>K533+L533</f>
        <v>86.5</v>
      </c>
      <c r="N533" s="51"/>
      <c r="O533" s="66">
        <f>M533+N533</f>
        <v>86.5</v>
      </c>
      <c r="Q533" s="66">
        <f>O533+P533</f>
        <v>86.5</v>
      </c>
    </row>
    <row r="534" spans="1:17" ht="31.5" x14ac:dyDescent="0.25">
      <c r="A534" s="36" t="s">
        <v>448</v>
      </c>
      <c r="B534" s="31" t="s">
        <v>456</v>
      </c>
      <c r="C534" s="31"/>
      <c r="D534" s="31"/>
      <c r="E534" s="31"/>
      <c r="F534" s="31"/>
      <c r="G534" s="40">
        <f>G535</f>
        <v>4984.2</v>
      </c>
      <c r="I534" s="40">
        <f>I535</f>
        <v>4984.2</v>
      </c>
      <c r="K534" s="40">
        <f>K535</f>
        <v>4984.2</v>
      </c>
      <c r="L534" s="51"/>
      <c r="M534" s="58">
        <f>M535</f>
        <v>5253.3</v>
      </c>
      <c r="N534" s="51"/>
      <c r="O534" s="65">
        <f>O535</f>
        <v>5253.3</v>
      </c>
      <c r="Q534" s="65">
        <f>Q535</f>
        <v>5253.3</v>
      </c>
    </row>
    <row r="535" spans="1:17" x14ac:dyDescent="0.25">
      <c r="A535" s="36" t="s">
        <v>129</v>
      </c>
      <c r="B535" s="31"/>
      <c r="C535" s="31" t="s">
        <v>15</v>
      </c>
      <c r="D535" s="31"/>
      <c r="E535" s="34"/>
      <c r="F535" s="34"/>
      <c r="G535" s="39">
        <f>G536</f>
        <v>4984.2</v>
      </c>
      <c r="I535" s="39">
        <f>I536</f>
        <v>4984.2</v>
      </c>
      <c r="K535" s="39">
        <f>K536</f>
        <v>4984.2</v>
      </c>
      <c r="L535" s="51"/>
      <c r="M535" s="39">
        <f>M536</f>
        <v>5253.3</v>
      </c>
      <c r="N535" s="51"/>
      <c r="O535" s="66">
        <f>O536</f>
        <v>5253.3</v>
      </c>
      <c r="Q535" s="66">
        <f>Q536</f>
        <v>5253.3</v>
      </c>
    </row>
    <row r="536" spans="1:17" x14ac:dyDescent="0.25">
      <c r="A536" s="36" t="s">
        <v>29</v>
      </c>
      <c r="B536" s="31"/>
      <c r="C536" s="31" t="s">
        <v>15</v>
      </c>
      <c r="D536" s="31" t="s">
        <v>186</v>
      </c>
      <c r="E536" s="34"/>
      <c r="F536" s="34"/>
      <c r="G536" s="39">
        <f>G537</f>
        <v>4984.2</v>
      </c>
      <c r="I536" s="39">
        <f>I537</f>
        <v>4984.2</v>
      </c>
      <c r="K536" s="39">
        <f>K537</f>
        <v>4984.2</v>
      </c>
      <c r="L536" s="51"/>
      <c r="M536" s="39">
        <f>M537+M543</f>
        <v>5253.3</v>
      </c>
      <c r="N536" s="51"/>
      <c r="O536" s="66">
        <f>O537+O543</f>
        <v>5253.3</v>
      </c>
      <c r="Q536" s="66">
        <f>Q537+Q543</f>
        <v>5253.3</v>
      </c>
    </row>
    <row r="537" spans="1:17" x14ac:dyDescent="0.25">
      <c r="A537" s="35" t="s">
        <v>262</v>
      </c>
      <c r="B537" s="34"/>
      <c r="C537" s="34" t="s">
        <v>15</v>
      </c>
      <c r="D537" s="34" t="s">
        <v>186</v>
      </c>
      <c r="E537" s="34" t="s">
        <v>261</v>
      </c>
      <c r="F537" s="34"/>
      <c r="G537" s="39">
        <f>G538+G540+G539+G541+G542</f>
        <v>4984.2</v>
      </c>
      <c r="I537" s="39">
        <f>I538+I540+I539+I541+I542</f>
        <v>4984.2</v>
      </c>
      <c r="K537" s="39">
        <f>K538+K540+K539+K541+K542</f>
        <v>4984.2</v>
      </c>
      <c r="L537" s="51"/>
      <c r="M537" s="39">
        <f>M538+M540+M539+M541+M542</f>
        <v>4753.3</v>
      </c>
      <c r="N537" s="51"/>
      <c r="O537" s="66">
        <f>O538+O540+O539+O541+O542</f>
        <v>4753.3</v>
      </c>
      <c r="Q537" s="66">
        <f>Q538+Q540+Q539+Q541+Q542</f>
        <v>4753.3</v>
      </c>
    </row>
    <row r="538" spans="1:17" x14ac:dyDescent="0.25">
      <c r="A538" s="17" t="s">
        <v>205</v>
      </c>
      <c r="B538" s="34"/>
      <c r="C538" s="34" t="s">
        <v>15</v>
      </c>
      <c r="D538" s="34" t="s">
        <v>186</v>
      </c>
      <c r="E538" s="34" t="s">
        <v>261</v>
      </c>
      <c r="F538" s="34" t="s">
        <v>395</v>
      </c>
      <c r="G538" s="39">
        <f>3761.1+1097.1</f>
        <v>4858.2</v>
      </c>
      <c r="I538" s="39">
        <f>G538+H538</f>
        <v>4858.2</v>
      </c>
      <c r="K538" s="39">
        <f>I538+J538</f>
        <v>4858.2</v>
      </c>
      <c r="L538" s="51">
        <v>-230.9</v>
      </c>
      <c r="M538" s="39">
        <f>K538+L538</f>
        <v>4627.3</v>
      </c>
      <c r="N538" s="51"/>
      <c r="O538" s="66">
        <f>M538+N538</f>
        <v>4627.3</v>
      </c>
      <c r="Q538" s="66">
        <f>O538+P538</f>
        <v>4627.3</v>
      </c>
    </row>
    <row r="539" spans="1:17" x14ac:dyDescent="0.25">
      <c r="A539" s="17" t="s">
        <v>209</v>
      </c>
      <c r="B539" s="34"/>
      <c r="C539" s="34" t="s">
        <v>15</v>
      </c>
      <c r="D539" s="34" t="s">
        <v>186</v>
      </c>
      <c r="E539" s="34" t="s">
        <v>261</v>
      </c>
      <c r="F539" s="34" t="s">
        <v>210</v>
      </c>
      <c r="G539" s="39">
        <f>106</f>
        <v>106</v>
      </c>
      <c r="I539" s="39">
        <f>G539+H539</f>
        <v>106</v>
      </c>
      <c r="K539" s="39">
        <f>I539+J539</f>
        <v>106</v>
      </c>
      <c r="L539" s="51"/>
      <c r="M539" s="39">
        <f>K539+L539</f>
        <v>106</v>
      </c>
      <c r="N539" s="51"/>
      <c r="O539" s="66">
        <f>M539+N539</f>
        <v>106</v>
      </c>
      <c r="Q539" s="66">
        <f>O539+P539</f>
        <v>106</v>
      </c>
    </row>
    <row r="540" spans="1:17" x14ac:dyDescent="0.25">
      <c r="A540" s="37" t="s">
        <v>225</v>
      </c>
      <c r="B540" s="34"/>
      <c r="C540" s="34" t="s">
        <v>15</v>
      </c>
      <c r="D540" s="34" t="s">
        <v>186</v>
      </c>
      <c r="E540" s="34" t="s">
        <v>261</v>
      </c>
      <c r="F540" s="34" t="s">
        <v>211</v>
      </c>
      <c r="G540" s="39">
        <v>20</v>
      </c>
      <c r="I540" s="39">
        <f>G540+H540</f>
        <v>20</v>
      </c>
      <c r="K540" s="39">
        <f>I540+J540</f>
        <v>20</v>
      </c>
      <c r="L540" s="51"/>
      <c r="M540" s="39">
        <f>K540+L540</f>
        <v>20</v>
      </c>
      <c r="N540" s="51"/>
      <c r="O540" s="66">
        <f>M540+N540</f>
        <v>20</v>
      </c>
      <c r="Q540" s="66">
        <f>O540+P540</f>
        <v>20</v>
      </c>
    </row>
    <row r="541" spans="1:17" x14ac:dyDescent="0.25">
      <c r="A541" s="43" t="s">
        <v>319</v>
      </c>
      <c r="B541" s="34"/>
      <c r="C541" s="34" t="s">
        <v>15</v>
      </c>
      <c r="D541" s="34" t="s">
        <v>186</v>
      </c>
      <c r="E541" s="34" t="s">
        <v>261</v>
      </c>
      <c r="F541" s="34" t="s">
        <v>318</v>
      </c>
      <c r="G541" s="39"/>
      <c r="I541" s="39">
        <f>G541+H541</f>
        <v>0</v>
      </c>
      <c r="K541" s="39">
        <f>I541+J541</f>
        <v>0</v>
      </c>
      <c r="L541" s="51"/>
      <c r="M541" s="39">
        <f>K541+L541</f>
        <v>0</v>
      </c>
      <c r="N541" s="51"/>
      <c r="O541" s="66">
        <f>M541+N541</f>
        <v>0</v>
      </c>
      <c r="Q541" s="66">
        <f>O541+P541</f>
        <v>0</v>
      </c>
    </row>
    <row r="542" spans="1:17" x14ac:dyDescent="0.25">
      <c r="A542" s="43" t="s">
        <v>301</v>
      </c>
      <c r="B542" s="34"/>
      <c r="C542" s="34" t="s">
        <v>15</v>
      </c>
      <c r="D542" s="34" t="s">
        <v>186</v>
      </c>
      <c r="E542" s="34" t="s">
        <v>261</v>
      </c>
      <c r="F542" s="34" t="s">
        <v>300</v>
      </c>
      <c r="G542" s="39"/>
      <c r="I542" s="39">
        <f>G542+H542</f>
        <v>0</v>
      </c>
      <c r="K542" s="39">
        <f>I542+J542</f>
        <v>0</v>
      </c>
      <c r="L542" s="51"/>
      <c r="M542" s="39">
        <f>K542+L542</f>
        <v>0</v>
      </c>
      <c r="N542" s="51"/>
      <c r="O542" s="66">
        <f>M542+N542</f>
        <v>0</v>
      </c>
      <c r="Q542" s="66">
        <f>O542+P542</f>
        <v>0</v>
      </c>
    </row>
    <row r="543" spans="1:17" ht="31.5" x14ac:dyDescent="0.25">
      <c r="A543" s="17" t="s">
        <v>34</v>
      </c>
      <c r="B543" s="34"/>
      <c r="C543" s="34" t="s">
        <v>15</v>
      </c>
      <c r="D543" s="34" t="s">
        <v>186</v>
      </c>
      <c r="E543" s="34" t="s">
        <v>215</v>
      </c>
      <c r="F543" s="34"/>
      <c r="G543" s="39"/>
      <c r="I543" s="39"/>
      <c r="K543" s="39"/>
      <c r="L543" s="51"/>
      <c r="M543" s="39">
        <f>M544</f>
        <v>500</v>
      </c>
      <c r="N543" s="51"/>
      <c r="O543" s="66">
        <f>O544</f>
        <v>500</v>
      </c>
      <c r="Q543" s="66">
        <f>Q544</f>
        <v>500</v>
      </c>
    </row>
    <row r="544" spans="1:17" x14ac:dyDescent="0.25">
      <c r="A544" s="37" t="s">
        <v>225</v>
      </c>
      <c r="B544" s="34"/>
      <c r="C544" s="34" t="s">
        <v>15</v>
      </c>
      <c r="D544" s="34" t="s">
        <v>186</v>
      </c>
      <c r="E544" s="34" t="s">
        <v>215</v>
      </c>
      <c r="F544" s="34" t="s">
        <v>211</v>
      </c>
      <c r="G544" s="39"/>
      <c r="I544" s="39"/>
      <c r="K544" s="39"/>
      <c r="L544" s="51">
        <v>500</v>
      </c>
      <c r="M544" s="39">
        <f>K544+L544</f>
        <v>500</v>
      </c>
      <c r="N544" s="51"/>
      <c r="O544" s="66">
        <f>M544+N544</f>
        <v>500</v>
      </c>
      <c r="Q544" s="66">
        <f>O544+P544</f>
        <v>500</v>
      </c>
    </row>
    <row r="545" spans="1:17" x14ac:dyDescent="0.25">
      <c r="A545" s="120" t="s">
        <v>449</v>
      </c>
      <c r="B545" s="31" t="s">
        <v>457</v>
      </c>
      <c r="C545" s="31"/>
      <c r="D545" s="31"/>
      <c r="E545" s="31"/>
      <c r="F545" s="31"/>
      <c r="G545" s="40">
        <f>G546</f>
        <v>3896</v>
      </c>
      <c r="I545" s="40">
        <f>I546</f>
        <v>3896</v>
      </c>
      <c r="K545" s="40">
        <f>K546</f>
        <v>3896</v>
      </c>
      <c r="L545" s="51"/>
      <c r="M545" s="40">
        <f>M546</f>
        <v>3091</v>
      </c>
      <c r="N545" s="51"/>
      <c r="O545" s="65">
        <f>O546</f>
        <v>3091</v>
      </c>
      <c r="Q545" s="65">
        <f>Q546</f>
        <v>3091</v>
      </c>
    </row>
    <row r="546" spans="1:17" x14ac:dyDescent="0.25">
      <c r="A546" s="36" t="s">
        <v>129</v>
      </c>
      <c r="B546" s="31"/>
      <c r="C546" s="31" t="s">
        <v>15</v>
      </c>
      <c r="D546" s="31"/>
      <c r="E546" s="34"/>
      <c r="F546" s="34"/>
      <c r="G546" s="39">
        <f>G547</f>
        <v>3896</v>
      </c>
      <c r="I546" s="39">
        <f>I547</f>
        <v>3896</v>
      </c>
      <c r="K546" s="39">
        <f>K547</f>
        <v>3896</v>
      </c>
      <c r="L546" s="51"/>
      <c r="M546" s="39">
        <f>M547</f>
        <v>3091</v>
      </c>
      <c r="N546" s="51"/>
      <c r="O546" s="66">
        <f>O547</f>
        <v>3091</v>
      </c>
      <c r="Q546" s="66">
        <f>Q547</f>
        <v>3091</v>
      </c>
    </row>
    <row r="547" spans="1:17" x14ac:dyDescent="0.25">
      <c r="A547" s="36" t="s">
        <v>29</v>
      </c>
      <c r="B547" s="31"/>
      <c r="C547" s="31" t="s">
        <v>15</v>
      </c>
      <c r="D547" s="31" t="s">
        <v>186</v>
      </c>
      <c r="E547" s="34"/>
      <c r="F547" s="34"/>
      <c r="G547" s="39">
        <f>G548</f>
        <v>3896</v>
      </c>
      <c r="I547" s="39">
        <f>I548</f>
        <v>3896</v>
      </c>
      <c r="K547" s="39">
        <f>K548</f>
        <v>3896</v>
      </c>
      <c r="L547" s="51"/>
      <c r="M547" s="39">
        <f>M548</f>
        <v>3091</v>
      </c>
      <c r="N547" s="51"/>
      <c r="O547" s="66">
        <f>O548</f>
        <v>3091</v>
      </c>
      <c r="Q547" s="66">
        <f>Q548</f>
        <v>3091</v>
      </c>
    </row>
    <row r="548" spans="1:17" x14ac:dyDescent="0.25">
      <c r="A548" s="35" t="s">
        <v>262</v>
      </c>
      <c r="B548" s="34"/>
      <c r="C548" s="34" t="s">
        <v>15</v>
      </c>
      <c r="D548" s="34" t="s">
        <v>186</v>
      </c>
      <c r="E548" s="34" t="s">
        <v>261</v>
      </c>
      <c r="F548" s="34"/>
      <c r="G548" s="39">
        <f>G549+G551+G550+G552+G553</f>
        <v>3896</v>
      </c>
      <c r="I548" s="39">
        <f>I549+I551+I550+I552+I553</f>
        <v>3896</v>
      </c>
      <c r="K548" s="39">
        <f>K549+K551+K550+K552+K553</f>
        <v>3896</v>
      </c>
      <c r="L548" s="51"/>
      <c r="M548" s="39">
        <f>M549+M551+M550+M552+M553</f>
        <v>3091</v>
      </c>
      <c r="N548" s="51"/>
      <c r="O548" s="66">
        <f>O549+O551+O550+O552+O553</f>
        <v>3091</v>
      </c>
      <c r="Q548" s="66">
        <f>Q549+Q551+Q550+Q552+Q553</f>
        <v>3091</v>
      </c>
    </row>
    <row r="549" spans="1:17" x14ac:dyDescent="0.25">
      <c r="A549" s="17" t="s">
        <v>205</v>
      </c>
      <c r="B549" s="34"/>
      <c r="C549" s="34" t="s">
        <v>15</v>
      </c>
      <c r="D549" s="34" t="s">
        <v>186</v>
      </c>
      <c r="E549" s="34" t="s">
        <v>261</v>
      </c>
      <c r="F549" s="34" t="s">
        <v>395</v>
      </c>
      <c r="G549" s="39">
        <f>2307.3+678.7</f>
        <v>2986</v>
      </c>
      <c r="I549" s="39">
        <f>G549+H549</f>
        <v>2986</v>
      </c>
      <c r="K549" s="39">
        <f>I549+J549</f>
        <v>2986</v>
      </c>
      <c r="L549" s="51">
        <f>-241.6-563.4</f>
        <v>-805</v>
      </c>
      <c r="M549" s="39">
        <f>K549+L549</f>
        <v>2181</v>
      </c>
      <c r="N549" s="51"/>
      <c r="O549" s="66">
        <f>M549+N549</f>
        <v>2181</v>
      </c>
      <c r="Q549" s="66">
        <f>O549+P549</f>
        <v>2181</v>
      </c>
    </row>
    <row r="550" spans="1:17" x14ac:dyDescent="0.25">
      <c r="A550" s="17" t="s">
        <v>209</v>
      </c>
      <c r="B550" s="34"/>
      <c r="C550" s="34" t="s">
        <v>15</v>
      </c>
      <c r="D550" s="34" t="s">
        <v>186</v>
      </c>
      <c r="E550" s="34" t="s">
        <v>261</v>
      </c>
      <c r="F550" s="34" t="s">
        <v>210</v>
      </c>
      <c r="G550" s="39">
        <f>80+500+150+135</f>
        <v>865</v>
      </c>
      <c r="I550" s="39">
        <f>G550+H550</f>
        <v>865</v>
      </c>
      <c r="K550" s="39">
        <f>I550+J550</f>
        <v>865</v>
      </c>
      <c r="L550" s="51">
        <v>-1</v>
      </c>
      <c r="M550" s="39">
        <f>K550+L550</f>
        <v>864</v>
      </c>
      <c r="N550" s="51"/>
      <c r="O550" s="66">
        <f>M550+N550</f>
        <v>864</v>
      </c>
      <c r="Q550" s="66">
        <f>O550+P550</f>
        <v>864</v>
      </c>
    </row>
    <row r="551" spans="1:17" x14ac:dyDescent="0.25">
      <c r="A551" s="37" t="s">
        <v>225</v>
      </c>
      <c r="B551" s="34"/>
      <c r="C551" s="34" t="s">
        <v>15</v>
      </c>
      <c r="D551" s="34" t="s">
        <v>186</v>
      </c>
      <c r="E551" s="34" t="s">
        <v>261</v>
      </c>
      <c r="F551" s="34" t="s">
        <v>211</v>
      </c>
      <c r="G551" s="39">
        <f>25+20</f>
        <v>45</v>
      </c>
      <c r="I551" s="39">
        <f>G551+H551</f>
        <v>45</v>
      </c>
      <c r="K551" s="39">
        <f>I551+J551</f>
        <v>45</v>
      </c>
      <c r="L551" s="51"/>
      <c r="M551" s="39">
        <f>K551+L551</f>
        <v>45</v>
      </c>
      <c r="N551" s="51"/>
      <c r="O551" s="66">
        <f>M551+N551</f>
        <v>45</v>
      </c>
      <c r="Q551" s="66">
        <f>O551+P551</f>
        <v>45</v>
      </c>
    </row>
    <row r="552" spans="1:17" x14ac:dyDescent="0.25">
      <c r="A552" s="43" t="s">
        <v>319</v>
      </c>
      <c r="B552" s="34"/>
      <c r="C552" s="34" t="s">
        <v>15</v>
      </c>
      <c r="D552" s="34" t="s">
        <v>186</v>
      </c>
      <c r="E552" s="34" t="s">
        <v>261</v>
      </c>
      <c r="F552" s="34" t="s">
        <v>318</v>
      </c>
      <c r="G552" s="39"/>
      <c r="I552" s="39">
        <f>G552+H552</f>
        <v>0</v>
      </c>
      <c r="K552" s="39">
        <f>I552+J552</f>
        <v>0</v>
      </c>
      <c r="L552" s="59">
        <v>1</v>
      </c>
      <c r="M552" s="39">
        <f>K552+L552</f>
        <v>1</v>
      </c>
      <c r="N552" s="59"/>
      <c r="O552" s="66">
        <f>M552+N552</f>
        <v>1</v>
      </c>
      <c r="Q552" s="66">
        <f>O552+P552</f>
        <v>1</v>
      </c>
    </row>
    <row r="553" spans="1:17" hidden="1" x14ac:dyDescent="0.25">
      <c r="A553" s="43" t="s">
        <v>301</v>
      </c>
      <c r="B553" s="34"/>
      <c r="C553" s="34" t="s">
        <v>15</v>
      </c>
      <c r="D553" s="34" t="s">
        <v>186</v>
      </c>
      <c r="E553" s="34" t="s">
        <v>261</v>
      </c>
      <c r="F553" s="34" t="s">
        <v>300</v>
      </c>
      <c r="G553" s="39"/>
      <c r="I553" s="39">
        <f>G553+H553</f>
        <v>0</v>
      </c>
      <c r="K553" s="39">
        <f>I553+J553</f>
        <v>0</v>
      </c>
      <c r="L553" s="51"/>
      <c r="M553" s="39">
        <f>K553+L553</f>
        <v>0</v>
      </c>
      <c r="N553" s="51"/>
      <c r="O553" s="66">
        <f>M553+N553</f>
        <v>0</v>
      </c>
      <c r="Q553" s="66">
        <f>O553+P553</f>
        <v>0</v>
      </c>
    </row>
    <row r="554" spans="1:17" ht="19.5" customHeight="1" x14ac:dyDescent="0.25">
      <c r="A554" s="85" t="s">
        <v>320</v>
      </c>
      <c r="B554" s="86"/>
      <c r="C554" s="86"/>
      <c r="D554" s="86"/>
      <c r="E554" s="86"/>
      <c r="F554" s="86"/>
      <c r="G554" s="40" t="e">
        <f>G16+G159+G173+G321+G368+G377+G391+G401+G493+G503+G534+G545</f>
        <v>#REF!</v>
      </c>
      <c r="H554" s="51">
        <f>SUM(H16:H553)</f>
        <v>5972.59</v>
      </c>
      <c r="I554" s="40" t="e">
        <f>I16+I159+I173+I321+I368+I377+I391+I401+I493+I503+I534+I545</f>
        <v>#REF!</v>
      </c>
      <c r="J554" s="51">
        <f>SUM(J16:J553)</f>
        <v>0</v>
      </c>
      <c r="K554" s="40" t="e">
        <f>K16+K159+K173+K321+K368+K377+K391+K401+K493+K503+K534+K545</f>
        <v>#REF!</v>
      </c>
      <c r="L554" s="59">
        <f>SUM(L16:L553)</f>
        <v>94890.639999999985</v>
      </c>
      <c r="M554" s="40">
        <f>M16+M159+M173+M321+M368+M377+M391+M401+M493+M503+M534+M545</f>
        <v>394518.77</v>
      </c>
      <c r="N554" s="59">
        <f>SUM(N16:N553)</f>
        <v>194413.08</v>
      </c>
      <c r="O554" s="65">
        <f>O16+O159+O173+O321+O368+O377+O391+O401+O493+O503+O534+O545</f>
        <v>588931.85</v>
      </c>
      <c r="P554" s="26">
        <f>SUM(P16:P553)</f>
        <v>13357.99</v>
      </c>
      <c r="Q554" s="65">
        <f>Q16+Q159+Q173+Q321+Q368+Q377+Q391+Q401+Q493+Q503+Q534+Q545</f>
        <v>602289.84</v>
      </c>
    </row>
    <row r="555" spans="1:17" x14ac:dyDescent="0.25">
      <c r="A555" s="29"/>
      <c r="B555" s="28"/>
      <c r="C555" s="28"/>
      <c r="D555" s="28"/>
      <c r="E555" s="28"/>
      <c r="F555" s="28"/>
    </row>
    <row r="556" spans="1:17" x14ac:dyDescent="0.25">
      <c r="A556" s="29"/>
      <c r="B556" s="28"/>
      <c r="C556" s="28"/>
      <c r="D556" s="28"/>
      <c r="E556" s="28"/>
      <c r="F556" s="28"/>
    </row>
    <row r="557" spans="1:17" x14ac:dyDescent="0.25">
      <c r="A557" s="29"/>
      <c r="B557" s="28"/>
      <c r="C557" s="28"/>
      <c r="D557" s="28"/>
      <c r="E557" s="28"/>
      <c r="F557" s="28"/>
    </row>
    <row r="558" spans="1:17" x14ac:dyDescent="0.25">
      <c r="A558" s="29"/>
      <c r="B558" s="28"/>
      <c r="C558" s="28"/>
      <c r="D558" s="28"/>
      <c r="E558" s="28"/>
      <c r="F558" s="28"/>
    </row>
    <row r="559" spans="1:17" x14ac:dyDescent="0.25">
      <c r="A559" s="29"/>
      <c r="B559" s="28"/>
      <c r="C559" s="28"/>
      <c r="D559" s="28"/>
      <c r="E559" s="28"/>
      <c r="F559" s="28"/>
    </row>
    <row r="560" spans="1:17" x14ac:dyDescent="0.25">
      <c r="A560" s="29"/>
      <c r="B560" s="28"/>
      <c r="C560" s="28"/>
      <c r="D560" s="28"/>
      <c r="E560" s="28"/>
      <c r="F560" s="28"/>
    </row>
    <row r="561" spans="1:6" x14ac:dyDescent="0.25">
      <c r="A561" s="29"/>
      <c r="B561" s="28"/>
      <c r="C561" s="28"/>
      <c r="D561" s="28"/>
      <c r="E561" s="28"/>
      <c r="F561" s="28"/>
    </row>
    <row r="562" spans="1:6" x14ac:dyDescent="0.25">
      <c r="A562" s="29"/>
      <c r="B562" s="28"/>
      <c r="C562" s="28"/>
      <c r="D562" s="28"/>
      <c r="E562" s="28"/>
      <c r="F562" s="28"/>
    </row>
    <row r="563" spans="1:6" x14ac:dyDescent="0.25">
      <c r="A563" s="29"/>
      <c r="B563" s="28"/>
      <c r="C563" s="28"/>
      <c r="D563" s="28"/>
      <c r="E563" s="28"/>
      <c r="F563" s="28"/>
    </row>
    <row r="564" spans="1:6" x14ac:dyDescent="0.25">
      <c r="A564" s="29"/>
      <c r="B564" s="28"/>
      <c r="C564" s="28"/>
      <c r="D564" s="28"/>
      <c r="E564" s="28"/>
      <c r="F564" s="28"/>
    </row>
    <row r="565" spans="1:6" x14ac:dyDescent="0.25">
      <c r="A565" s="29"/>
      <c r="B565" s="28"/>
      <c r="C565" s="28"/>
      <c r="D565" s="28"/>
      <c r="E565" s="28"/>
      <c r="F565" s="28"/>
    </row>
    <row r="566" spans="1:6" x14ac:dyDescent="0.25">
      <c r="A566" s="29"/>
      <c r="B566" s="28"/>
      <c r="C566" s="28"/>
      <c r="D566" s="28"/>
      <c r="E566" s="28"/>
      <c r="F566" s="28"/>
    </row>
    <row r="567" spans="1:6" x14ac:dyDescent="0.25">
      <c r="A567" s="29"/>
      <c r="B567" s="28"/>
      <c r="C567" s="28"/>
      <c r="D567" s="28"/>
      <c r="E567" s="28"/>
      <c r="F567" s="28"/>
    </row>
    <row r="568" spans="1:6" x14ac:dyDescent="0.25">
      <c r="A568" s="29"/>
      <c r="B568" s="28"/>
      <c r="C568" s="28"/>
      <c r="D568" s="28"/>
      <c r="E568" s="28"/>
      <c r="F568" s="28"/>
    </row>
    <row r="569" spans="1:6" x14ac:dyDescent="0.25">
      <c r="A569" s="29"/>
      <c r="B569" s="28"/>
      <c r="C569" s="28"/>
      <c r="D569" s="28"/>
      <c r="E569" s="28"/>
      <c r="F569" s="28"/>
    </row>
    <row r="570" spans="1:6" x14ac:dyDescent="0.25">
      <c r="A570" s="29"/>
      <c r="B570" s="28"/>
      <c r="C570" s="28"/>
      <c r="D570" s="28"/>
      <c r="E570" s="28"/>
      <c r="F570" s="28"/>
    </row>
    <row r="571" spans="1:6" x14ac:dyDescent="0.25">
      <c r="A571" s="29"/>
      <c r="B571" s="28"/>
      <c r="C571" s="28"/>
      <c r="D571" s="28"/>
      <c r="E571" s="28"/>
      <c r="F571" s="28"/>
    </row>
    <row r="572" spans="1:6" x14ac:dyDescent="0.25">
      <c r="A572" s="29"/>
      <c r="B572" s="28"/>
      <c r="C572" s="28"/>
      <c r="D572" s="28"/>
      <c r="E572" s="28"/>
      <c r="F572" s="28"/>
    </row>
    <row r="573" spans="1:6" x14ac:dyDescent="0.25">
      <c r="A573" s="29"/>
      <c r="B573" s="28"/>
      <c r="C573" s="28"/>
      <c r="D573" s="28"/>
      <c r="E573" s="28"/>
      <c r="F573" s="28"/>
    </row>
    <row r="574" spans="1:6" x14ac:dyDescent="0.25">
      <c r="A574" s="29"/>
      <c r="B574" s="28"/>
      <c r="C574" s="28"/>
      <c r="D574" s="28"/>
      <c r="E574" s="28"/>
      <c r="F574" s="28"/>
    </row>
    <row r="575" spans="1:6" x14ac:dyDescent="0.25">
      <c r="A575" s="29"/>
      <c r="B575" s="28"/>
      <c r="C575" s="28"/>
      <c r="D575" s="28"/>
      <c r="E575" s="28"/>
      <c r="F575" s="28"/>
    </row>
    <row r="576" spans="1:6" x14ac:dyDescent="0.25">
      <c r="A576" s="29"/>
      <c r="B576" s="28"/>
      <c r="C576" s="28"/>
      <c r="D576" s="28"/>
      <c r="E576" s="28"/>
      <c r="F576" s="28"/>
    </row>
    <row r="577" spans="1:6" x14ac:dyDescent="0.25">
      <c r="A577" s="29"/>
      <c r="B577" s="28"/>
      <c r="C577" s="28"/>
      <c r="D577" s="28"/>
      <c r="E577" s="28"/>
      <c r="F577" s="28"/>
    </row>
    <row r="578" spans="1:6" x14ac:dyDescent="0.25">
      <c r="A578" s="29"/>
      <c r="B578" s="28"/>
      <c r="C578" s="28"/>
      <c r="D578" s="28"/>
      <c r="E578" s="28"/>
      <c r="F578" s="28"/>
    </row>
    <row r="579" spans="1:6" x14ac:dyDescent="0.25">
      <c r="A579" s="29"/>
      <c r="B579" s="28"/>
      <c r="C579" s="28"/>
      <c r="D579" s="28"/>
      <c r="E579" s="28"/>
      <c r="F579" s="28"/>
    </row>
    <row r="580" spans="1:6" x14ac:dyDescent="0.25">
      <c r="A580" s="29"/>
      <c r="B580" s="28"/>
      <c r="C580" s="28"/>
      <c r="D580" s="28"/>
      <c r="E580" s="28"/>
      <c r="F580" s="28"/>
    </row>
    <row r="581" spans="1:6" x14ac:dyDescent="0.25">
      <c r="A581" s="29"/>
      <c r="B581" s="28"/>
      <c r="C581" s="28"/>
      <c r="D581" s="28"/>
      <c r="E581" s="28"/>
      <c r="F581" s="28"/>
    </row>
    <row r="582" spans="1:6" x14ac:dyDescent="0.25">
      <c r="A582" s="29"/>
      <c r="B582" s="28"/>
      <c r="C582" s="28"/>
      <c r="D582" s="28"/>
      <c r="E582" s="28"/>
      <c r="F582" s="28"/>
    </row>
    <row r="583" spans="1:6" x14ac:dyDescent="0.25">
      <c r="B583" s="28"/>
      <c r="C583" s="28"/>
      <c r="D583" s="28"/>
      <c r="E583" s="28"/>
      <c r="F583" s="28"/>
    </row>
    <row r="584" spans="1:6" x14ac:dyDescent="0.25">
      <c r="B584" s="28"/>
      <c r="C584" s="28"/>
      <c r="D584" s="28"/>
      <c r="E584" s="28"/>
      <c r="F584" s="28"/>
    </row>
    <row r="585" spans="1:6" x14ac:dyDescent="0.25">
      <c r="B585" s="28"/>
      <c r="C585" s="28"/>
      <c r="D585" s="28"/>
      <c r="E585" s="28"/>
      <c r="F585" s="28"/>
    </row>
    <row r="586" spans="1:6" x14ac:dyDescent="0.25">
      <c r="B586" s="28"/>
      <c r="C586" s="28"/>
      <c r="D586" s="28"/>
      <c r="E586" s="28"/>
      <c r="F586" s="28"/>
    </row>
    <row r="587" spans="1:6" x14ac:dyDescent="0.25">
      <c r="B587" s="28"/>
      <c r="C587" s="28"/>
      <c r="D587" s="28"/>
      <c r="E587" s="28"/>
      <c r="F587" s="28"/>
    </row>
    <row r="588" spans="1:6" x14ac:dyDescent="0.25">
      <c r="B588" s="28"/>
      <c r="C588" s="28"/>
      <c r="D588" s="28"/>
      <c r="E588" s="28"/>
      <c r="F588" s="28"/>
    </row>
    <row r="589" spans="1:6" x14ac:dyDescent="0.25">
      <c r="B589" s="28"/>
      <c r="C589" s="28"/>
      <c r="D589" s="28"/>
      <c r="E589" s="28"/>
      <c r="F589" s="28"/>
    </row>
    <row r="590" spans="1:6" x14ac:dyDescent="0.25">
      <c r="B590" s="28"/>
      <c r="C590" s="28"/>
      <c r="D590" s="28"/>
      <c r="E590" s="28"/>
      <c r="F590" s="28"/>
    </row>
    <row r="591" spans="1:6" x14ac:dyDescent="0.25">
      <c r="B591" s="28"/>
      <c r="C591" s="28"/>
      <c r="D591" s="28"/>
      <c r="E591" s="28"/>
      <c r="F591" s="28"/>
    </row>
    <row r="592" spans="1:6" x14ac:dyDescent="0.25">
      <c r="B592" s="28"/>
      <c r="C592" s="28"/>
      <c r="D592" s="28"/>
      <c r="E592" s="28"/>
      <c r="F592" s="28"/>
    </row>
    <row r="593" spans="2:6" x14ac:dyDescent="0.25">
      <c r="B593" s="28"/>
      <c r="C593" s="28"/>
      <c r="D593" s="28"/>
      <c r="E593" s="28"/>
      <c r="F593" s="28"/>
    </row>
    <row r="594" spans="2:6" x14ac:dyDescent="0.25">
      <c r="B594" s="28"/>
      <c r="C594" s="28"/>
      <c r="D594" s="28"/>
      <c r="E594" s="28"/>
      <c r="F594" s="28"/>
    </row>
    <row r="595" spans="2:6" x14ac:dyDescent="0.25">
      <c r="B595" s="28"/>
      <c r="C595" s="28"/>
      <c r="D595" s="28"/>
      <c r="E595" s="28"/>
      <c r="F595" s="28"/>
    </row>
    <row r="596" spans="2:6" x14ac:dyDescent="0.25">
      <c r="B596" s="28"/>
      <c r="C596" s="28"/>
      <c r="D596" s="28"/>
      <c r="E596" s="28"/>
      <c r="F596" s="28"/>
    </row>
    <row r="597" spans="2:6" x14ac:dyDescent="0.25">
      <c r="B597" s="28"/>
      <c r="C597" s="28"/>
      <c r="D597" s="28"/>
      <c r="E597" s="28"/>
      <c r="F597" s="28"/>
    </row>
    <row r="598" spans="2:6" x14ac:dyDescent="0.25">
      <c r="B598" s="28"/>
      <c r="C598" s="28"/>
      <c r="D598" s="28"/>
      <c r="E598" s="28"/>
      <c r="F598" s="28"/>
    </row>
    <row r="599" spans="2:6" x14ac:dyDescent="0.25">
      <c r="B599" s="28"/>
      <c r="C599" s="28"/>
      <c r="D599" s="28"/>
      <c r="E599" s="28"/>
      <c r="F599" s="28"/>
    </row>
    <row r="600" spans="2:6" x14ac:dyDescent="0.25">
      <c r="B600" s="28"/>
      <c r="C600" s="28"/>
      <c r="D600" s="28"/>
      <c r="E600" s="28"/>
      <c r="F600" s="28"/>
    </row>
    <row r="601" spans="2:6" x14ac:dyDescent="0.25">
      <c r="B601" s="28"/>
      <c r="C601" s="28"/>
      <c r="D601" s="28"/>
      <c r="E601" s="28"/>
      <c r="F601" s="28"/>
    </row>
    <row r="602" spans="2:6" x14ac:dyDescent="0.25">
      <c r="B602" s="28"/>
      <c r="C602" s="28"/>
      <c r="D602" s="28"/>
      <c r="E602" s="28"/>
      <c r="F602" s="28"/>
    </row>
    <row r="603" spans="2:6" x14ac:dyDescent="0.25">
      <c r="B603" s="28"/>
      <c r="C603" s="28"/>
      <c r="D603" s="28"/>
      <c r="E603" s="28"/>
      <c r="F603" s="28"/>
    </row>
    <row r="604" spans="2:6" x14ac:dyDescent="0.25">
      <c r="B604" s="28"/>
      <c r="C604" s="28"/>
      <c r="D604" s="28"/>
      <c r="E604" s="28"/>
      <c r="F604" s="28"/>
    </row>
    <row r="605" spans="2:6" x14ac:dyDescent="0.25">
      <c r="B605" s="28"/>
      <c r="C605" s="28"/>
      <c r="D605" s="28"/>
      <c r="E605" s="28"/>
      <c r="F605" s="28"/>
    </row>
    <row r="606" spans="2:6" x14ac:dyDescent="0.25">
      <c r="B606" s="28"/>
      <c r="C606" s="28"/>
      <c r="D606" s="28"/>
      <c r="E606" s="28"/>
      <c r="F606" s="28"/>
    </row>
    <row r="607" spans="2:6" x14ac:dyDescent="0.25">
      <c r="B607" s="28"/>
      <c r="C607" s="28"/>
      <c r="D607" s="28"/>
      <c r="E607" s="28"/>
      <c r="F607" s="28"/>
    </row>
    <row r="608" spans="2:6" x14ac:dyDescent="0.25">
      <c r="B608" s="28"/>
      <c r="C608" s="28"/>
      <c r="D608" s="28"/>
      <c r="E608" s="28"/>
      <c r="F608" s="28"/>
    </row>
    <row r="609" spans="2:6" x14ac:dyDescent="0.25">
      <c r="B609" s="28"/>
      <c r="C609" s="28"/>
      <c r="D609" s="28"/>
      <c r="E609" s="28"/>
      <c r="F609" s="28"/>
    </row>
    <row r="610" spans="2:6" x14ac:dyDescent="0.25">
      <c r="B610" s="28"/>
      <c r="C610" s="28"/>
      <c r="D610" s="28"/>
      <c r="E610" s="28"/>
      <c r="F610" s="28"/>
    </row>
    <row r="611" spans="2:6" x14ac:dyDescent="0.25">
      <c r="B611" s="28"/>
      <c r="C611" s="28"/>
      <c r="D611" s="28"/>
      <c r="E611" s="28"/>
      <c r="F611" s="28"/>
    </row>
    <row r="612" spans="2:6" x14ac:dyDescent="0.25">
      <c r="B612" s="28"/>
      <c r="C612" s="28"/>
      <c r="D612" s="28"/>
      <c r="E612" s="28"/>
      <c r="F612" s="28"/>
    </row>
    <row r="613" spans="2:6" x14ac:dyDescent="0.25">
      <c r="B613" s="28"/>
      <c r="C613" s="28"/>
      <c r="D613" s="28"/>
      <c r="E613" s="28"/>
      <c r="F613" s="28"/>
    </row>
    <row r="614" spans="2:6" x14ac:dyDescent="0.25">
      <c r="B614" s="28"/>
      <c r="C614" s="28"/>
      <c r="D614" s="28"/>
      <c r="E614" s="28"/>
      <c r="F614" s="28"/>
    </row>
    <row r="615" spans="2:6" x14ac:dyDescent="0.25">
      <c r="B615" s="28"/>
      <c r="C615" s="28"/>
      <c r="D615" s="28"/>
      <c r="E615" s="28"/>
      <c r="F615" s="28"/>
    </row>
    <row r="616" spans="2:6" x14ac:dyDescent="0.25">
      <c r="B616" s="28"/>
      <c r="C616" s="28"/>
      <c r="D616" s="28"/>
      <c r="E616" s="28"/>
      <c r="F616" s="28"/>
    </row>
    <row r="617" spans="2:6" x14ac:dyDescent="0.25">
      <c r="B617" s="28"/>
      <c r="C617" s="28"/>
      <c r="D617" s="28"/>
      <c r="E617" s="28"/>
      <c r="F617" s="28"/>
    </row>
    <row r="618" spans="2:6" x14ac:dyDescent="0.25">
      <c r="B618" s="28"/>
      <c r="C618" s="28"/>
      <c r="D618" s="28"/>
      <c r="E618" s="28"/>
      <c r="F618" s="28"/>
    </row>
    <row r="619" spans="2:6" x14ac:dyDescent="0.25">
      <c r="B619" s="28"/>
      <c r="C619" s="28"/>
      <c r="D619" s="28"/>
      <c r="E619" s="28"/>
      <c r="F619" s="28"/>
    </row>
    <row r="620" spans="2:6" x14ac:dyDescent="0.25">
      <c r="B620" s="28"/>
      <c r="C620" s="28"/>
      <c r="D620" s="28"/>
      <c r="E620" s="28"/>
      <c r="F620" s="28"/>
    </row>
    <row r="621" spans="2:6" x14ac:dyDescent="0.25">
      <c r="B621" s="28"/>
      <c r="C621" s="28"/>
      <c r="D621" s="28"/>
      <c r="E621" s="28"/>
      <c r="F621" s="28"/>
    </row>
    <row r="622" spans="2:6" x14ac:dyDescent="0.25">
      <c r="B622" s="28"/>
      <c r="C622" s="28"/>
      <c r="D622" s="28"/>
      <c r="E622" s="28"/>
      <c r="F622" s="28"/>
    </row>
    <row r="623" spans="2:6" x14ac:dyDescent="0.25">
      <c r="B623" s="28"/>
      <c r="C623" s="28"/>
      <c r="D623" s="28"/>
      <c r="E623" s="28"/>
      <c r="F623" s="28"/>
    </row>
    <row r="624" spans="2:6" x14ac:dyDescent="0.25">
      <c r="B624" s="28"/>
      <c r="C624" s="28"/>
      <c r="D624" s="28"/>
      <c r="E624" s="28"/>
      <c r="F624" s="28"/>
    </row>
    <row r="625" spans="2:6" x14ac:dyDescent="0.25">
      <c r="B625" s="28"/>
      <c r="C625" s="28"/>
      <c r="D625" s="28"/>
      <c r="E625" s="28"/>
      <c r="F625" s="28"/>
    </row>
    <row r="626" spans="2:6" x14ac:dyDescent="0.25">
      <c r="B626" s="28"/>
      <c r="C626" s="28"/>
      <c r="D626" s="28"/>
      <c r="E626" s="28"/>
      <c r="F626" s="28"/>
    </row>
    <row r="627" spans="2:6" x14ac:dyDescent="0.25">
      <c r="B627" s="28"/>
      <c r="C627" s="28"/>
      <c r="D627" s="28"/>
      <c r="E627" s="28"/>
      <c r="F627" s="28"/>
    </row>
    <row r="628" spans="2:6" x14ac:dyDescent="0.25">
      <c r="B628" s="28"/>
      <c r="C628" s="28"/>
      <c r="D628" s="28"/>
      <c r="E628" s="28"/>
      <c r="F628" s="28"/>
    </row>
    <row r="629" spans="2:6" x14ac:dyDescent="0.25">
      <c r="B629" s="28"/>
      <c r="C629" s="28"/>
      <c r="D629" s="28"/>
      <c r="E629" s="28"/>
      <c r="F629" s="28"/>
    </row>
    <row r="630" spans="2:6" x14ac:dyDescent="0.25">
      <c r="B630" s="28"/>
      <c r="C630" s="28"/>
      <c r="D630" s="28"/>
      <c r="E630" s="28"/>
      <c r="F630" s="28"/>
    </row>
    <row r="631" spans="2:6" x14ac:dyDescent="0.25">
      <c r="B631" s="28"/>
      <c r="C631" s="28"/>
      <c r="D631" s="28"/>
      <c r="E631" s="28"/>
      <c r="F631" s="28"/>
    </row>
    <row r="632" spans="2:6" x14ac:dyDescent="0.25">
      <c r="B632" s="28"/>
      <c r="C632" s="28"/>
      <c r="D632" s="28"/>
      <c r="E632" s="28"/>
      <c r="F632" s="28"/>
    </row>
    <row r="633" spans="2:6" x14ac:dyDescent="0.25">
      <c r="B633" s="28"/>
      <c r="C633" s="28"/>
      <c r="D633" s="28"/>
      <c r="E633" s="28"/>
      <c r="F633" s="28"/>
    </row>
    <row r="634" spans="2:6" x14ac:dyDescent="0.25">
      <c r="B634" s="28"/>
      <c r="C634" s="28"/>
      <c r="D634" s="28"/>
      <c r="E634" s="28"/>
      <c r="F634" s="28"/>
    </row>
    <row r="635" spans="2:6" x14ac:dyDescent="0.25">
      <c r="B635" s="28"/>
      <c r="C635" s="28"/>
      <c r="D635" s="28"/>
      <c r="E635" s="28"/>
      <c r="F635" s="28"/>
    </row>
    <row r="636" spans="2:6" x14ac:dyDescent="0.25">
      <c r="B636" s="28"/>
      <c r="C636" s="28"/>
      <c r="D636" s="28"/>
      <c r="E636" s="28"/>
      <c r="F636" s="28"/>
    </row>
    <row r="637" spans="2:6" x14ac:dyDescent="0.25">
      <c r="B637" s="28"/>
      <c r="C637" s="28"/>
      <c r="D637" s="28"/>
      <c r="E637" s="28"/>
      <c r="F637" s="28"/>
    </row>
    <row r="638" spans="2:6" x14ac:dyDescent="0.25">
      <c r="B638" s="28"/>
      <c r="C638" s="28"/>
      <c r="D638" s="28"/>
      <c r="E638" s="28"/>
      <c r="F638" s="28"/>
    </row>
    <row r="639" spans="2:6" x14ac:dyDescent="0.25">
      <c r="B639" s="28"/>
      <c r="C639" s="28"/>
      <c r="D639" s="28"/>
      <c r="E639" s="28"/>
      <c r="F639" s="28"/>
    </row>
    <row r="640" spans="2:6" x14ac:dyDescent="0.25">
      <c r="B640" s="28"/>
      <c r="C640" s="28"/>
      <c r="D640" s="28"/>
      <c r="E640" s="28"/>
      <c r="F640" s="28"/>
    </row>
    <row r="641" spans="2:6" x14ac:dyDescent="0.25">
      <c r="B641" s="28"/>
      <c r="C641" s="28"/>
      <c r="D641" s="28"/>
      <c r="E641" s="28"/>
      <c r="F641" s="28"/>
    </row>
    <row r="642" spans="2:6" x14ac:dyDescent="0.25">
      <c r="B642" s="28"/>
      <c r="C642" s="28"/>
      <c r="D642" s="28"/>
      <c r="E642" s="28"/>
      <c r="F642" s="28"/>
    </row>
    <row r="643" spans="2:6" x14ac:dyDescent="0.25">
      <c r="B643" s="28"/>
      <c r="C643" s="28"/>
      <c r="D643" s="28"/>
      <c r="E643" s="28"/>
      <c r="F643" s="28"/>
    </row>
    <row r="644" spans="2:6" x14ac:dyDescent="0.25">
      <c r="B644" s="28"/>
      <c r="C644" s="28"/>
      <c r="D644" s="28"/>
      <c r="E644" s="28"/>
      <c r="F644" s="28"/>
    </row>
    <row r="645" spans="2:6" x14ac:dyDescent="0.25">
      <c r="B645" s="28"/>
      <c r="C645" s="28"/>
      <c r="D645" s="28"/>
      <c r="E645" s="28"/>
      <c r="F645" s="28"/>
    </row>
    <row r="646" spans="2:6" x14ac:dyDescent="0.25">
      <c r="B646" s="28"/>
      <c r="C646" s="28"/>
      <c r="D646" s="28"/>
      <c r="E646" s="28"/>
      <c r="F646" s="28"/>
    </row>
    <row r="647" spans="2:6" x14ac:dyDescent="0.25">
      <c r="B647" s="28"/>
      <c r="C647" s="28"/>
      <c r="D647" s="28"/>
      <c r="E647" s="28"/>
      <c r="F647" s="28"/>
    </row>
    <row r="648" spans="2:6" x14ac:dyDescent="0.25">
      <c r="B648" s="28"/>
      <c r="C648" s="28"/>
      <c r="D648" s="28"/>
      <c r="E648" s="28"/>
      <c r="F648" s="28"/>
    </row>
    <row r="649" spans="2:6" x14ac:dyDescent="0.25">
      <c r="B649" s="28"/>
      <c r="C649" s="28"/>
      <c r="D649" s="28"/>
      <c r="E649" s="28"/>
      <c r="F649" s="28"/>
    </row>
    <row r="650" spans="2:6" x14ac:dyDescent="0.25">
      <c r="B650" s="28"/>
      <c r="C650" s="28"/>
      <c r="D650" s="28"/>
      <c r="E650" s="28"/>
      <c r="F650" s="28"/>
    </row>
    <row r="651" spans="2:6" x14ac:dyDescent="0.25">
      <c r="B651" s="28"/>
      <c r="C651" s="28"/>
      <c r="D651" s="28"/>
      <c r="E651" s="28"/>
      <c r="F651" s="28"/>
    </row>
    <row r="652" spans="2:6" x14ac:dyDescent="0.25">
      <c r="B652" s="28"/>
      <c r="C652" s="28"/>
      <c r="D652" s="28"/>
      <c r="E652" s="28"/>
      <c r="F652" s="28"/>
    </row>
    <row r="653" spans="2:6" x14ac:dyDescent="0.25">
      <c r="B653" s="28"/>
      <c r="C653" s="28"/>
      <c r="D653" s="28"/>
      <c r="E653" s="28"/>
      <c r="F653" s="28"/>
    </row>
    <row r="654" spans="2:6" x14ac:dyDescent="0.25">
      <c r="B654" s="28"/>
      <c r="C654" s="28"/>
      <c r="D654" s="28"/>
      <c r="E654" s="28"/>
      <c r="F654" s="28"/>
    </row>
    <row r="655" spans="2:6" x14ac:dyDescent="0.25">
      <c r="B655" s="28"/>
      <c r="C655" s="28"/>
      <c r="D655" s="28"/>
      <c r="E655" s="28"/>
      <c r="F655" s="28"/>
    </row>
    <row r="656" spans="2:6" x14ac:dyDescent="0.25">
      <c r="B656" s="28"/>
      <c r="C656" s="28"/>
      <c r="D656" s="28"/>
      <c r="E656" s="28"/>
      <c r="F656" s="28"/>
    </row>
    <row r="657" spans="2:6" x14ac:dyDescent="0.25">
      <c r="B657" s="28"/>
      <c r="C657" s="28"/>
      <c r="D657" s="28"/>
      <c r="E657" s="28"/>
      <c r="F657" s="28"/>
    </row>
    <row r="658" spans="2:6" x14ac:dyDescent="0.25">
      <c r="B658" s="28"/>
      <c r="C658" s="28"/>
      <c r="D658" s="28"/>
      <c r="E658" s="28"/>
      <c r="F658" s="28"/>
    </row>
    <row r="659" spans="2:6" x14ac:dyDescent="0.25">
      <c r="B659" s="28"/>
      <c r="C659" s="28"/>
      <c r="D659" s="28"/>
      <c r="E659" s="28"/>
      <c r="F659" s="28"/>
    </row>
    <row r="660" spans="2:6" x14ac:dyDescent="0.25">
      <c r="B660" s="28"/>
      <c r="C660" s="28"/>
      <c r="D660" s="28"/>
      <c r="E660" s="28"/>
      <c r="F660" s="28"/>
    </row>
    <row r="661" spans="2:6" x14ac:dyDescent="0.25">
      <c r="B661" s="28"/>
      <c r="C661" s="28"/>
      <c r="D661" s="28"/>
      <c r="E661" s="28"/>
      <c r="F661" s="28"/>
    </row>
    <row r="662" spans="2:6" x14ac:dyDescent="0.25">
      <c r="B662" s="28"/>
      <c r="C662" s="28"/>
      <c r="D662" s="28"/>
      <c r="E662" s="28"/>
      <c r="F662" s="28"/>
    </row>
    <row r="663" spans="2:6" x14ac:dyDescent="0.25">
      <c r="B663" s="28"/>
      <c r="C663" s="28"/>
      <c r="D663" s="28"/>
      <c r="E663" s="28"/>
      <c r="F663" s="28"/>
    </row>
    <row r="664" spans="2:6" x14ac:dyDescent="0.25">
      <c r="B664" s="28"/>
      <c r="C664" s="28"/>
      <c r="D664" s="28"/>
      <c r="E664" s="28"/>
      <c r="F664" s="28"/>
    </row>
    <row r="665" spans="2:6" x14ac:dyDescent="0.25">
      <c r="B665" s="28"/>
      <c r="C665" s="28"/>
      <c r="D665" s="28"/>
      <c r="E665" s="28"/>
      <c r="F665" s="28"/>
    </row>
    <row r="666" spans="2:6" x14ac:dyDescent="0.25">
      <c r="B666" s="28"/>
      <c r="C666" s="28"/>
      <c r="D666" s="28"/>
      <c r="E666" s="28"/>
      <c r="F666" s="28"/>
    </row>
    <row r="667" spans="2:6" x14ac:dyDescent="0.25">
      <c r="B667" s="28"/>
      <c r="C667" s="28"/>
      <c r="D667" s="28"/>
      <c r="E667" s="28"/>
      <c r="F667" s="28"/>
    </row>
    <row r="668" spans="2:6" x14ac:dyDescent="0.25">
      <c r="B668" s="28"/>
      <c r="C668" s="28"/>
      <c r="D668" s="28"/>
      <c r="E668" s="28"/>
      <c r="F668" s="28"/>
    </row>
    <row r="669" spans="2:6" x14ac:dyDescent="0.25">
      <c r="B669" s="28"/>
      <c r="C669" s="28"/>
      <c r="D669" s="28"/>
      <c r="E669" s="28"/>
      <c r="F669" s="28"/>
    </row>
    <row r="670" spans="2:6" x14ac:dyDescent="0.25">
      <c r="B670" s="28"/>
      <c r="C670" s="28"/>
      <c r="D670" s="28"/>
      <c r="E670" s="28"/>
      <c r="F670" s="28"/>
    </row>
    <row r="671" spans="2:6" x14ac:dyDescent="0.25">
      <c r="B671" s="28"/>
      <c r="C671" s="28"/>
      <c r="D671" s="28"/>
      <c r="E671" s="28"/>
      <c r="F671" s="28"/>
    </row>
    <row r="672" spans="2:6" x14ac:dyDescent="0.25">
      <c r="B672" s="28"/>
      <c r="C672" s="28"/>
      <c r="D672" s="28"/>
      <c r="E672" s="28"/>
      <c r="F672" s="28"/>
    </row>
    <row r="673" spans="2:6" x14ac:dyDescent="0.25">
      <c r="B673" s="28"/>
      <c r="C673" s="28"/>
      <c r="D673" s="28"/>
      <c r="E673" s="28"/>
      <c r="F673" s="28"/>
    </row>
    <row r="674" spans="2:6" x14ac:dyDescent="0.25">
      <c r="B674" s="28"/>
      <c r="C674" s="28"/>
      <c r="D674" s="28"/>
      <c r="E674" s="28"/>
      <c r="F674" s="28"/>
    </row>
    <row r="675" spans="2:6" x14ac:dyDescent="0.25">
      <c r="B675" s="28"/>
      <c r="C675" s="28"/>
      <c r="D675" s="28"/>
      <c r="E675" s="28"/>
      <c r="F675" s="28"/>
    </row>
    <row r="676" spans="2:6" x14ac:dyDescent="0.25">
      <c r="B676" s="28"/>
      <c r="C676" s="28"/>
      <c r="D676" s="28"/>
      <c r="E676" s="28"/>
      <c r="F676" s="28"/>
    </row>
    <row r="677" spans="2:6" x14ac:dyDescent="0.25">
      <c r="B677" s="28"/>
      <c r="C677" s="28"/>
      <c r="D677" s="28"/>
      <c r="E677" s="28"/>
      <c r="F677" s="28"/>
    </row>
    <row r="678" spans="2:6" x14ac:dyDescent="0.25">
      <c r="B678" s="28"/>
      <c r="C678" s="28"/>
      <c r="D678" s="28"/>
      <c r="E678" s="28"/>
      <c r="F678" s="28"/>
    </row>
    <row r="679" spans="2:6" x14ac:dyDescent="0.25">
      <c r="B679" s="28"/>
      <c r="C679" s="28"/>
      <c r="D679" s="28"/>
      <c r="E679" s="28"/>
      <c r="F679" s="28"/>
    </row>
    <row r="680" spans="2:6" x14ac:dyDescent="0.25">
      <c r="B680" s="28"/>
      <c r="C680" s="28"/>
      <c r="D680" s="28"/>
      <c r="E680" s="28"/>
      <c r="F680" s="28"/>
    </row>
    <row r="681" spans="2:6" x14ac:dyDescent="0.25">
      <c r="B681" s="28"/>
      <c r="C681" s="28"/>
      <c r="D681" s="28"/>
      <c r="E681" s="28"/>
      <c r="F681" s="28"/>
    </row>
    <row r="682" spans="2:6" x14ac:dyDescent="0.25">
      <c r="B682" s="28"/>
      <c r="C682" s="28"/>
      <c r="D682" s="28"/>
      <c r="E682" s="28"/>
      <c r="F682" s="28"/>
    </row>
    <row r="683" spans="2:6" x14ac:dyDescent="0.25">
      <c r="B683" s="28"/>
      <c r="C683" s="28"/>
      <c r="D683" s="28"/>
      <c r="E683" s="28"/>
      <c r="F683" s="28"/>
    </row>
    <row r="684" spans="2:6" x14ac:dyDescent="0.25">
      <c r="B684" s="28"/>
      <c r="C684" s="28"/>
      <c r="D684" s="28"/>
      <c r="E684" s="28"/>
      <c r="F684" s="28"/>
    </row>
    <row r="685" spans="2:6" x14ac:dyDescent="0.25">
      <c r="B685" s="28"/>
      <c r="C685" s="28"/>
      <c r="D685" s="28"/>
      <c r="E685" s="28"/>
      <c r="F685" s="28"/>
    </row>
    <row r="686" spans="2:6" x14ac:dyDescent="0.25">
      <c r="B686" s="28"/>
      <c r="C686" s="28"/>
      <c r="D686" s="28"/>
      <c r="E686" s="28"/>
      <c r="F686" s="28"/>
    </row>
    <row r="687" spans="2:6" x14ac:dyDescent="0.25">
      <c r="B687" s="28"/>
      <c r="C687" s="28"/>
      <c r="D687" s="28"/>
      <c r="E687" s="28"/>
      <c r="F687" s="28"/>
    </row>
    <row r="688" spans="2:6" x14ac:dyDescent="0.25">
      <c r="B688" s="28"/>
      <c r="C688" s="28"/>
      <c r="D688" s="28"/>
      <c r="E688" s="28"/>
      <c r="F688" s="28"/>
    </row>
    <row r="689" spans="2:6" x14ac:dyDescent="0.25">
      <c r="B689" s="28"/>
      <c r="C689" s="28"/>
      <c r="D689" s="28"/>
      <c r="E689" s="28"/>
      <c r="F689" s="28"/>
    </row>
    <row r="690" spans="2:6" x14ac:dyDescent="0.25">
      <c r="B690" s="28"/>
      <c r="C690" s="28"/>
      <c r="D690" s="28"/>
      <c r="E690" s="28"/>
      <c r="F690" s="28"/>
    </row>
    <row r="691" spans="2:6" x14ac:dyDescent="0.25">
      <c r="B691" s="28"/>
      <c r="C691" s="28"/>
      <c r="D691" s="28"/>
      <c r="E691" s="28"/>
      <c r="F691" s="28"/>
    </row>
    <row r="692" spans="2:6" x14ac:dyDescent="0.25">
      <c r="B692" s="28"/>
      <c r="C692" s="28"/>
      <c r="D692" s="28"/>
      <c r="E692" s="28"/>
      <c r="F692" s="28"/>
    </row>
    <row r="693" spans="2:6" x14ac:dyDescent="0.25">
      <c r="B693" s="28"/>
      <c r="C693" s="28"/>
      <c r="D693" s="28"/>
      <c r="E693" s="28"/>
      <c r="F693" s="28"/>
    </row>
    <row r="694" spans="2:6" x14ac:dyDescent="0.25">
      <c r="B694" s="28"/>
      <c r="C694" s="28"/>
      <c r="D694" s="28"/>
      <c r="E694" s="28"/>
      <c r="F694" s="28"/>
    </row>
    <row r="695" spans="2:6" x14ac:dyDescent="0.25">
      <c r="B695" s="28"/>
      <c r="C695" s="28"/>
      <c r="D695" s="28"/>
      <c r="E695" s="28"/>
      <c r="F695" s="28"/>
    </row>
    <row r="696" spans="2:6" x14ac:dyDescent="0.25">
      <c r="B696" s="28"/>
      <c r="C696" s="28"/>
      <c r="D696" s="28"/>
      <c r="E696" s="28"/>
      <c r="F696" s="28"/>
    </row>
    <row r="697" spans="2:6" x14ac:dyDescent="0.25">
      <c r="B697" s="28"/>
      <c r="C697" s="28"/>
      <c r="D697" s="28"/>
      <c r="E697" s="28"/>
      <c r="F697" s="28"/>
    </row>
    <row r="698" spans="2:6" x14ac:dyDescent="0.25">
      <c r="B698" s="28"/>
      <c r="C698" s="28"/>
      <c r="D698" s="28"/>
      <c r="E698" s="28"/>
      <c r="F698" s="28"/>
    </row>
    <row r="699" spans="2:6" x14ac:dyDescent="0.25">
      <c r="B699" s="28"/>
      <c r="C699" s="28"/>
      <c r="D699" s="28"/>
      <c r="E699" s="28"/>
      <c r="F699" s="28"/>
    </row>
    <row r="700" spans="2:6" x14ac:dyDescent="0.25">
      <c r="B700" s="28"/>
      <c r="C700" s="28"/>
      <c r="D700" s="28"/>
      <c r="E700" s="28"/>
      <c r="F700" s="28"/>
    </row>
    <row r="701" spans="2:6" x14ac:dyDescent="0.25">
      <c r="B701" s="28"/>
      <c r="C701" s="28"/>
      <c r="D701" s="28"/>
      <c r="E701" s="28"/>
      <c r="F701" s="28"/>
    </row>
    <row r="702" spans="2:6" x14ac:dyDescent="0.25">
      <c r="B702" s="28"/>
      <c r="C702" s="28"/>
      <c r="D702" s="28"/>
      <c r="E702" s="28"/>
      <c r="F702" s="28"/>
    </row>
    <row r="703" spans="2:6" x14ac:dyDescent="0.25">
      <c r="B703" s="28"/>
      <c r="C703" s="28"/>
      <c r="D703" s="28"/>
      <c r="E703" s="28"/>
      <c r="F703" s="28"/>
    </row>
    <row r="704" spans="2:6" x14ac:dyDescent="0.25">
      <c r="B704" s="28"/>
      <c r="C704" s="28"/>
      <c r="D704" s="28"/>
      <c r="E704" s="28"/>
      <c r="F704" s="28"/>
    </row>
    <row r="705" spans="2:6" x14ac:dyDescent="0.25">
      <c r="B705" s="28"/>
      <c r="C705" s="28"/>
      <c r="D705" s="28"/>
      <c r="E705" s="28"/>
      <c r="F705" s="28"/>
    </row>
    <row r="706" spans="2:6" x14ac:dyDescent="0.25">
      <c r="B706" s="28"/>
      <c r="C706" s="28"/>
      <c r="D706" s="28"/>
      <c r="E706" s="28"/>
      <c r="F706" s="28"/>
    </row>
    <row r="707" spans="2:6" x14ac:dyDescent="0.25">
      <c r="B707" s="28"/>
      <c r="C707" s="28"/>
      <c r="D707" s="28"/>
      <c r="E707" s="28"/>
      <c r="F707" s="28"/>
    </row>
    <row r="708" spans="2:6" x14ac:dyDescent="0.25">
      <c r="B708" s="28"/>
      <c r="C708" s="28"/>
      <c r="D708" s="28"/>
      <c r="E708" s="28"/>
      <c r="F708" s="28"/>
    </row>
    <row r="709" spans="2:6" x14ac:dyDescent="0.25">
      <c r="B709" s="28"/>
      <c r="C709" s="28"/>
      <c r="D709" s="28"/>
      <c r="E709" s="28"/>
      <c r="F709" s="28"/>
    </row>
    <row r="710" spans="2:6" x14ac:dyDescent="0.25">
      <c r="B710" s="28"/>
      <c r="C710" s="28"/>
      <c r="D710" s="28"/>
      <c r="E710" s="28"/>
      <c r="F710" s="28"/>
    </row>
    <row r="711" spans="2:6" x14ac:dyDescent="0.25">
      <c r="B711" s="28"/>
      <c r="C711" s="28"/>
      <c r="D711" s="28"/>
      <c r="E711" s="28"/>
      <c r="F711" s="28"/>
    </row>
    <row r="712" spans="2:6" x14ac:dyDescent="0.25">
      <c r="B712" s="28"/>
      <c r="C712" s="28"/>
      <c r="D712" s="28"/>
      <c r="E712" s="28"/>
      <c r="F712" s="28"/>
    </row>
  </sheetData>
  <mergeCells count="30">
    <mergeCell ref="A10:G10"/>
    <mergeCell ref="M13:M14"/>
    <mergeCell ref="L13:L14"/>
    <mergeCell ref="J13:J14"/>
    <mergeCell ref="K13:K14"/>
    <mergeCell ref="I13:I14"/>
    <mergeCell ref="A554:F554"/>
    <mergeCell ref="G13:G14"/>
    <mergeCell ref="A13:A14"/>
    <mergeCell ref="B13:B14"/>
    <mergeCell ref="C13:C14"/>
    <mergeCell ref="D13:D14"/>
    <mergeCell ref="E13:E14"/>
    <mergeCell ref="F13:F14"/>
    <mergeCell ref="Q13:Q14"/>
    <mergeCell ref="A1:Q1"/>
    <mergeCell ref="A2:Q2"/>
    <mergeCell ref="A3:Q3"/>
    <mergeCell ref="A4:Q4"/>
    <mergeCell ref="A5:Q5"/>
    <mergeCell ref="A6:Q6"/>
    <mergeCell ref="A7:Q7"/>
    <mergeCell ref="A8:Q8"/>
    <mergeCell ref="A9:Q9"/>
    <mergeCell ref="A11:Q11"/>
    <mergeCell ref="A12:Q12"/>
    <mergeCell ref="P13:P14"/>
    <mergeCell ref="O13:O14"/>
    <mergeCell ref="N13:N14"/>
    <mergeCell ref="H13:H14"/>
  </mergeCells>
  <pageMargins left="0.55118110236220474" right="0" top="0.15748031496062992" bottom="0.15748031496062992" header="0.11811023622047245" footer="0"/>
  <pageSetup paperSize="9" scale="5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6"/>
  <sheetViews>
    <sheetView view="pageLayout" topLeftCell="A215" zoomScaleNormal="100" workbookViewId="0">
      <selection activeCell="A39" sqref="A39"/>
    </sheetView>
  </sheetViews>
  <sheetFormatPr defaultRowHeight="15.75" x14ac:dyDescent="0.25"/>
  <cols>
    <col min="1" max="1" width="74" style="3" customWidth="1"/>
    <col min="2" max="2" width="4.7109375" style="3" customWidth="1"/>
    <col min="3" max="3" width="5.140625" style="3" customWidth="1"/>
    <col min="4" max="4" width="10.42578125" style="3" customWidth="1"/>
    <col min="5" max="5" width="11.140625" style="15" customWidth="1"/>
    <col min="6" max="6" width="9.140625" style="2"/>
    <col min="7" max="7" width="14.5703125" style="60" customWidth="1"/>
    <col min="8" max="16384" width="9.140625" style="2"/>
  </cols>
  <sheetData>
    <row r="1" spans="1:7" ht="14.25" customHeight="1" x14ac:dyDescent="0.25">
      <c r="A1" s="99" t="s">
        <v>629</v>
      </c>
      <c r="B1" s="99"/>
      <c r="C1" s="99"/>
      <c r="D1" s="99"/>
      <c r="E1" s="99"/>
    </row>
    <row r="2" spans="1:7" x14ac:dyDescent="0.25">
      <c r="A2" s="95" t="s">
        <v>0</v>
      </c>
      <c r="B2" s="95"/>
      <c r="C2" s="95"/>
      <c r="D2" s="95"/>
      <c r="E2" s="95"/>
    </row>
    <row r="3" spans="1:7" x14ac:dyDescent="0.25">
      <c r="A3" s="95" t="s">
        <v>125</v>
      </c>
      <c r="B3" s="95"/>
      <c r="C3" s="95"/>
      <c r="D3" s="95"/>
      <c r="E3" s="95"/>
    </row>
    <row r="4" spans="1:7" x14ac:dyDescent="0.25">
      <c r="A4" s="96" t="s">
        <v>622</v>
      </c>
      <c r="B4" s="97"/>
      <c r="C4" s="97"/>
      <c r="D4" s="97"/>
      <c r="E4" s="97"/>
    </row>
    <row r="5" spans="1:7" ht="19.5" customHeight="1" x14ac:dyDescent="0.25">
      <c r="A5" s="99" t="s">
        <v>455</v>
      </c>
      <c r="B5" s="99"/>
      <c r="C5" s="99"/>
      <c r="D5" s="99"/>
      <c r="E5" s="99"/>
    </row>
    <row r="6" spans="1:7" x14ac:dyDescent="0.25">
      <c r="A6" s="95" t="s">
        <v>0</v>
      </c>
      <c r="B6" s="95"/>
      <c r="C6" s="95"/>
      <c r="D6" s="95"/>
      <c r="E6" s="95"/>
    </row>
    <row r="7" spans="1:7" x14ac:dyDescent="0.25">
      <c r="A7" s="95" t="s">
        <v>125</v>
      </c>
      <c r="B7" s="95"/>
      <c r="C7" s="95"/>
      <c r="D7" s="95"/>
      <c r="E7" s="95"/>
    </row>
    <row r="8" spans="1:7" x14ac:dyDescent="0.25">
      <c r="A8" s="96" t="s">
        <v>630</v>
      </c>
      <c r="B8" s="97"/>
      <c r="C8" s="97"/>
      <c r="D8" s="97"/>
      <c r="E8" s="97"/>
    </row>
    <row r="9" spans="1:7" ht="5.25" customHeight="1" x14ac:dyDescent="0.25">
      <c r="E9" s="4"/>
    </row>
    <row r="10" spans="1:7" ht="60.75" customHeight="1" x14ac:dyDescent="0.3">
      <c r="A10" s="98" t="s">
        <v>454</v>
      </c>
      <c r="B10" s="98"/>
      <c r="C10" s="98"/>
      <c r="D10" s="98"/>
      <c r="E10" s="98"/>
    </row>
    <row r="11" spans="1:7" ht="16.5" thickBot="1" x14ac:dyDescent="0.3">
      <c r="E11" s="4" t="s">
        <v>126</v>
      </c>
    </row>
    <row r="12" spans="1:7" ht="16.5" thickBot="1" x14ac:dyDescent="0.3">
      <c r="A12" s="5" t="s">
        <v>127</v>
      </c>
      <c r="B12" s="6" t="s">
        <v>128</v>
      </c>
      <c r="C12" s="6" t="s">
        <v>11</v>
      </c>
      <c r="D12" s="6" t="s">
        <v>12</v>
      </c>
      <c r="E12" s="24" t="s">
        <v>2</v>
      </c>
    </row>
    <row r="13" spans="1:7" x14ac:dyDescent="0.25">
      <c r="A13" s="115" t="s">
        <v>129</v>
      </c>
      <c r="B13" s="7" t="s">
        <v>15</v>
      </c>
      <c r="C13" s="7" t="s">
        <v>16</v>
      </c>
      <c r="D13" s="7" t="s">
        <v>130</v>
      </c>
      <c r="E13" s="8">
        <f>E14+E16+E19+E24+E30+E22</f>
        <v>64905.009999999995</v>
      </c>
      <c r="G13" s="61"/>
    </row>
    <row r="14" spans="1:7" ht="31.5" hidden="1" x14ac:dyDescent="0.25">
      <c r="A14" s="20" t="s">
        <v>131</v>
      </c>
      <c r="B14" s="10" t="s">
        <v>15</v>
      </c>
      <c r="C14" s="10" t="s">
        <v>17</v>
      </c>
      <c r="D14" s="10" t="s">
        <v>130</v>
      </c>
      <c r="E14" s="11">
        <f>E15</f>
        <v>0</v>
      </c>
    </row>
    <row r="15" spans="1:7" hidden="1" x14ac:dyDescent="0.25">
      <c r="A15" s="21" t="s">
        <v>18</v>
      </c>
      <c r="B15" s="13" t="s">
        <v>15</v>
      </c>
      <c r="C15" s="13" t="s">
        <v>17</v>
      </c>
      <c r="D15" s="13" t="s">
        <v>132</v>
      </c>
      <c r="E15" s="14"/>
    </row>
    <row r="16" spans="1:7" ht="44.25" customHeight="1" x14ac:dyDescent="0.25">
      <c r="A16" s="20" t="s">
        <v>19</v>
      </c>
      <c r="B16" s="100" t="s">
        <v>15</v>
      </c>
      <c r="C16" s="100" t="s">
        <v>20</v>
      </c>
      <c r="D16" s="100" t="s">
        <v>130</v>
      </c>
      <c r="E16" s="101">
        <f>E17+E18</f>
        <v>3316.4</v>
      </c>
    </row>
    <row r="17" spans="1:7" x14ac:dyDescent="0.25">
      <c r="A17" s="21" t="s">
        <v>22</v>
      </c>
      <c r="B17" s="102" t="s">
        <v>15</v>
      </c>
      <c r="C17" s="102" t="s">
        <v>20</v>
      </c>
      <c r="D17" s="102" t="s">
        <v>104</v>
      </c>
      <c r="E17" s="103">
        <f>прил.3!O162</f>
        <v>1873</v>
      </c>
      <c r="G17" s="61"/>
    </row>
    <row r="18" spans="1:7" ht="31.5" customHeight="1" x14ac:dyDescent="0.25">
      <c r="A18" s="21" t="s">
        <v>133</v>
      </c>
      <c r="B18" s="102" t="s">
        <v>15</v>
      </c>
      <c r="C18" s="102" t="s">
        <v>20</v>
      </c>
      <c r="D18" s="102" t="s">
        <v>134</v>
      </c>
      <c r="E18" s="103">
        <f>прил.3!O167</f>
        <v>1443.4</v>
      </c>
    </row>
    <row r="19" spans="1:7" ht="45" customHeight="1" x14ac:dyDescent="0.25">
      <c r="A19" s="20" t="s">
        <v>135</v>
      </c>
      <c r="B19" s="100" t="s">
        <v>15</v>
      </c>
      <c r="C19" s="100" t="s">
        <v>24</v>
      </c>
      <c r="D19" s="100" t="s">
        <v>130</v>
      </c>
      <c r="E19" s="101">
        <f>E20+E21</f>
        <v>27490.3</v>
      </c>
    </row>
    <row r="20" spans="1:7" x14ac:dyDescent="0.25">
      <c r="A20" s="21" t="s">
        <v>22</v>
      </c>
      <c r="B20" s="102" t="s">
        <v>15</v>
      </c>
      <c r="C20" s="102" t="s">
        <v>24</v>
      </c>
      <c r="D20" s="102" t="s">
        <v>104</v>
      </c>
      <c r="E20" s="103">
        <f>прил.3!O19</f>
        <v>27490.3</v>
      </c>
    </row>
    <row r="21" spans="1:7" ht="30.75" customHeight="1" x14ac:dyDescent="0.25">
      <c r="A21" s="21" t="s">
        <v>158</v>
      </c>
      <c r="B21" s="102" t="s">
        <v>15</v>
      </c>
      <c r="C21" s="102" t="s">
        <v>24</v>
      </c>
      <c r="D21" s="102" t="s">
        <v>177</v>
      </c>
      <c r="E21" s="103">
        <f>прил.3!O27</f>
        <v>0</v>
      </c>
    </row>
    <row r="22" spans="1:7" ht="30.75" customHeight="1" x14ac:dyDescent="0.25">
      <c r="A22" s="36" t="s">
        <v>425</v>
      </c>
      <c r="B22" s="100" t="s">
        <v>15</v>
      </c>
      <c r="C22" s="100" t="s">
        <v>98</v>
      </c>
      <c r="D22" s="100" t="s">
        <v>104</v>
      </c>
      <c r="E22" s="101">
        <f>E23</f>
        <v>5831.7</v>
      </c>
    </row>
    <row r="23" spans="1:7" ht="16.5" customHeight="1" x14ac:dyDescent="0.25">
      <c r="A23" s="17" t="s">
        <v>235</v>
      </c>
      <c r="B23" s="102" t="s">
        <v>15</v>
      </c>
      <c r="C23" s="102" t="s">
        <v>98</v>
      </c>
      <c r="D23" s="102" t="s">
        <v>426</v>
      </c>
      <c r="E23" s="103">
        <f>прил.3!O176</f>
        <v>5831.7</v>
      </c>
    </row>
    <row r="24" spans="1:7" x14ac:dyDescent="0.25">
      <c r="A24" s="20" t="s">
        <v>26</v>
      </c>
      <c r="B24" s="100" t="s">
        <v>15</v>
      </c>
      <c r="C24" s="100" t="s">
        <v>107</v>
      </c>
      <c r="D24" s="100" t="s">
        <v>130</v>
      </c>
      <c r="E24" s="101">
        <f>E25</f>
        <v>1638.45</v>
      </c>
    </row>
    <row r="25" spans="1:7" x14ac:dyDescent="0.25">
      <c r="A25" s="21" t="s">
        <v>26</v>
      </c>
      <c r="B25" s="102" t="s">
        <v>15</v>
      </c>
      <c r="C25" s="102" t="s">
        <v>107</v>
      </c>
      <c r="D25" s="102" t="s">
        <v>136</v>
      </c>
      <c r="E25" s="103">
        <f>E26</f>
        <v>1638.45</v>
      </c>
    </row>
    <row r="26" spans="1:7" ht="30.75" customHeight="1" x14ac:dyDescent="0.25">
      <c r="A26" s="21" t="s">
        <v>137</v>
      </c>
      <c r="B26" s="102" t="s">
        <v>15</v>
      </c>
      <c r="C26" s="102" t="s">
        <v>107</v>
      </c>
      <c r="D26" s="102" t="s">
        <v>28</v>
      </c>
      <c r="E26" s="103">
        <f>E27+E28+E29</f>
        <v>1638.45</v>
      </c>
    </row>
    <row r="27" spans="1:7" x14ac:dyDescent="0.25">
      <c r="A27" s="21" t="s">
        <v>138</v>
      </c>
      <c r="B27" s="102" t="s">
        <v>15</v>
      </c>
      <c r="C27" s="102" t="s">
        <v>107</v>
      </c>
      <c r="D27" s="102" t="s">
        <v>160</v>
      </c>
      <c r="E27" s="103">
        <f>прил.3!O31</f>
        <v>977.45</v>
      </c>
    </row>
    <row r="28" spans="1:7" ht="30" customHeight="1" x14ac:dyDescent="0.25">
      <c r="A28" s="21" t="s">
        <v>139</v>
      </c>
      <c r="B28" s="102" t="s">
        <v>15</v>
      </c>
      <c r="C28" s="102" t="s">
        <v>107</v>
      </c>
      <c r="D28" s="102" t="s">
        <v>161</v>
      </c>
      <c r="E28" s="103">
        <f>прил.3!O33</f>
        <v>491</v>
      </c>
    </row>
    <row r="29" spans="1:7" x14ac:dyDescent="0.25">
      <c r="A29" s="21" t="s">
        <v>162</v>
      </c>
      <c r="B29" s="102" t="s">
        <v>15</v>
      </c>
      <c r="C29" s="102" t="s">
        <v>107</v>
      </c>
      <c r="D29" s="102" t="s">
        <v>163</v>
      </c>
      <c r="E29" s="103">
        <v>170</v>
      </c>
    </row>
    <row r="30" spans="1:7" x14ac:dyDescent="0.25">
      <c r="A30" s="20" t="s">
        <v>29</v>
      </c>
      <c r="B30" s="100" t="s">
        <v>15</v>
      </c>
      <c r="C30" s="100" t="s">
        <v>186</v>
      </c>
      <c r="D30" s="100" t="s">
        <v>130</v>
      </c>
      <c r="E30" s="101">
        <f>E34+E38+E40++E31+E36+E37+E33+E35</f>
        <v>26628.16</v>
      </c>
    </row>
    <row r="31" spans="1:7" ht="17.25" customHeight="1" x14ac:dyDescent="0.25">
      <c r="A31" s="20" t="s">
        <v>31</v>
      </c>
      <c r="B31" s="100" t="s">
        <v>15</v>
      </c>
      <c r="C31" s="100" t="s">
        <v>186</v>
      </c>
      <c r="D31" s="100" t="s">
        <v>178</v>
      </c>
      <c r="E31" s="101">
        <f>E32</f>
        <v>602.5</v>
      </c>
    </row>
    <row r="32" spans="1:7" ht="16.5" customHeight="1" x14ac:dyDescent="0.25">
      <c r="A32" s="21" t="s">
        <v>32</v>
      </c>
      <c r="B32" s="102" t="s">
        <v>40</v>
      </c>
      <c r="C32" s="102" t="s">
        <v>186</v>
      </c>
      <c r="D32" s="102" t="s">
        <v>33</v>
      </c>
      <c r="E32" s="103">
        <f>прил.3!O38</f>
        <v>602.5</v>
      </c>
    </row>
    <row r="33" spans="1:7" ht="30.75" customHeight="1" x14ac:dyDescent="0.25">
      <c r="A33" s="112" t="s">
        <v>376</v>
      </c>
      <c r="B33" s="102" t="s">
        <v>15</v>
      </c>
      <c r="C33" s="102" t="s">
        <v>186</v>
      </c>
      <c r="D33" s="102" t="s">
        <v>438</v>
      </c>
      <c r="E33" s="103">
        <f>прил.3!O43</f>
        <v>373.79999999999995</v>
      </c>
    </row>
    <row r="34" spans="1:7" ht="14.25" customHeight="1" x14ac:dyDescent="0.25">
      <c r="A34" s="21" t="s">
        <v>52</v>
      </c>
      <c r="B34" s="102" t="s">
        <v>15</v>
      </c>
      <c r="C34" s="102" t="s">
        <v>186</v>
      </c>
      <c r="D34" s="102" t="s">
        <v>53</v>
      </c>
      <c r="E34" s="103">
        <f>прил.3!O184+прил.3!O371+прил.3!O537+прил.3!O548</f>
        <v>20395.900000000001</v>
      </c>
    </row>
    <row r="35" spans="1:7" ht="14.25" customHeight="1" x14ac:dyDescent="0.25">
      <c r="A35" s="21" t="s">
        <v>443</v>
      </c>
      <c r="B35" s="102" t="s">
        <v>15</v>
      </c>
      <c r="C35" s="102" t="s">
        <v>186</v>
      </c>
      <c r="D35" s="102" t="s">
        <v>544</v>
      </c>
      <c r="E35" s="103">
        <f>прил.3!O51</f>
        <v>0</v>
      </c>
    </row>
    <row r="36" spans="1:7" ht="31.5" x14ac:dyDescent="0.25">
      <c r="A36" s="21" t="s">
        <v>34</v>
      </c>
      <c r="B36" s="102" t="s">
        <v>15</v>
      </c>
      <c r="C36" s="102" t="s">
        <v>186</v>
      </c>
      <c r="D36" s="102" t="s">
        <v>35</v>
      </c>
      <c r="E36" s="103">
        <f>прил.3!O48+прил.3!O543</f>
        <v>600</v>
      </c>
    </row>
    <row r="37" spans="1:7" ht="31.5" x14ac:dyDescent="0.25">
      <c r="A37" s="18" t="s">
        <v>36</v>
      </c>
      <c r="B37" s="102" t="s">
        <v>15</v>
      </c>
      <c r="C37" s="102" t="s">
        <v>186</v>
      </c>
      <c r="D37" s="102" t="s">
        <v>37</v>
      </c>
      <c r="E37" s="103">
        <f>прил.3!O52+прил.3!O186</f>
        <v>3064.76</v>
      </c>
    </row>
    <row r="38" spans="1:7" ht="31.5" x14ac:dyDescent="0.25">
      <c r="A38" s="21" t="s">
        <v>88</v>
      </c>
      <c r="B38" s="102" t="s">
        <v>15</v>
      </c>
      <c r="C38" s="102" t="s">
        <v>186</v>
      </c>
      <c r="D38" s="102" t="s">
        <v>89</v>
      </c>
      <c r="E38" s="103">
        <f>E39</f>
        <v>1470.1999999999998</v>
      </c>
    </row>
    <row r="39" spans="1:7" ht="17.25" customHeight="1" x14ac:dyDescent="0.25">
      <c r="A39" s="21" t="s">
        <v>52</v>
      </c>
      <c r="B39" s="102" t="s">
        <v>15</v>
      </c>
      <c r="C39" s="102" t="s">
        <v>186</v>
      </c>
      <c r="D39" s="102" t="s">
        <v>169</v>
      </c>
      <c r="E39" s="103">
        <f>прил.3!O493</f>
        <v>1470.1999999999998</v>
      </c>
    </row>
    <row r="40" spans="1:7" x14ac:dyDescent="0.25">
      <c r="A40" s="21" t="s">
        <v>38</v>
      </c>
      <c r="B40" s="102" t="s">
        <v>15</v>
      </c>
      <c r="C40" s="102" t="s">
        <v>186</v>
      </c>
      <c r="D40" s="102" t="s">
        <v>39</v>
      </c>
      <c r="E40" s="103">
        <f>E41+E42+E43</f>
        <v>121</v>
      </c>
    </row>
    <row r="41" spans="1:7" ht="30" customHeight="1" x14ac:dyDescent="0.25">
      <c r="A41" s="21" t="s">
        <v>164</v>
      </c>
      <c r="B41" s="102" t="s">
        <v>15</v>
      </c>
      <c r="C41" s="102" t="s">
        <v>186</v>
      </c>
      <c r="D41" s="102" t="s">
        <v>165</v>
      </c>
      <c r="E41" s="103">
        <f>прил.3!O54</f>
        <v>121</v>
      </c>
    </row>
    <row r="42" spans="1:7" ht="47.25" hidden="1" x14ac:dyDescent="0.25">
      <c r="A42" s="17" t="s">
        <v>308</v>
      </c>
      <c r="B42" s="102" t="s">
        <v>15</v>
      </c>
      <c r="C42" s="102" t="s">
        <v>186</v>
      </c>
      <c r="D42" s="104" t="s">
        <v>326</v>
      </c>
      <c r="E42" s="103">
        <f>прил.3!O58</f>
        <v>0</v>
      </c>
    </row>
    <row r="43" spans="1:7" ht="31.5" hidden="1" x14ac:dyDescent="0.25">
      <c r="A43" s="17" t="s">
        <v>423</v>
      </c>
      <c r="B43" s="102" t="s">
        <v>15</v>
      </c>
      <c r="C43" s="102" t="s">
        <v>186</v>
      </c>
      <c r="D43" s="104" t="s">
        <v>434</v>
      </c>
      <c r="E43" s="103">
        <f>прил.3!O56</f>
        <v>0</v>
      </c>
    </row>
    <row r="44" spans="1:7" x14ac:dyDescent="0.25">
      <c r="A44" s="49" t="s">
        <v>140</v>
      </c>
      <c r="B44" s="100" t="s">
        <v>17</v>
      </c>
      <c r="C44" s="100" t="s">
        <v>16</v>
      </c>
      <c r="D44" s="100" t="s">
        <v>130</v>
      </c>
      <c r="E44" s="101">
        <f>E45</f>
        <v>603.69999999999993</v>
      </c>
      <c r="G44" s="61"/>
    </row>
    <row r="45" spans="1:7" x14ac:dyDescent="0.25">
      <c r="A45" s="20" t="s">
        <v>179</v>
      </c>
      <c r="B45" s="100" t="s">
        <v>17</v>
      </c>
      <c r="C45" s="100" t="s">
        <v>20</v>
      </c>
      <c r="D45" s="100" t="s">
        <v>130</v>
      </c>
      <c r="E45" s="101">
        <f>E46</f>
        <v>603.69999999999993</v>
      </c>
    </row>
    <row r="46" spans="1:7" ht="28.5" customHeight="1" x14ac:dyDescent="0.25">
      <c r="A46" s="21" t="s">
        <v>3</v>
      </c>
      <c r="B46" s="102" t="s">
        <v>17</v>
      </c>
      <c r="C46" s="102" t="s">
        <v>20</v>
      </c>
      <c r="D46" s="102" t="s">
        <v>41</v>
      </c>
      <c r="E46" s="103">
        <f>прил.3!O62</f>
        <v>603.69999999999993</v>
      </c>
    </row>
    <row r="47" spans="1:7" ht="29.25" x14ac:dyDescent="0.25">
      <c r="A47" s="49" t="s">
        <v>141</v>
      </c>
      <c r="B47" s="100" t="s">
        <v>20</v>
      </c>
      <c r="C47" s="100" t="s">
        <v>16</v>
      </c>
      <c r="D47" s="100" t="s">
        <v>130</v>
      </c>
      <c r="E47" s="101">
        <f>E48</f>
        <v>1618.9499999999998</v>
      </c>
      <c r="G47" s="61"/>
    </row>
    <row r="48" spans="1:7" ht="31.5" customHeight="1" x14ac:dyDescent="0.25">
      <c r="A48" s="20" t="s">
        <v>95</v>
      </c>
      <c r="B48" s="100" t="s">
        <v>20</v>
      </c>
      <c r="C48" s="100" t="s">
        <v>63</v>
      </c>
      <c r="D48" s="100" t="s">
        <v>130</v>
      </c>
      <c r="E48" s="101">
        <f>E50+E51+E49</f>
        <v>1618.9499999999998</v>
      </c>
    </row>
    <row r="49" spans="1:7" ht="17.25" customHeight="1" x14ac:dyDescent="0.25">
      <c r="A49" s="17" t="s">
        <v>138</v>
      </c>
      <c r="B49" s="102" t="s">
        <v>20</v>
      </c>
      <c r="C49" s="102" t="s">
        <v>63</v>
      </c>
      <c r="D49" s="102" t="s">
        <v>160</v>
      </c>
      <c r="E49" s="103">
        <f>прил.3!O69</f>
        <v>22.55</v>
      </c>
    </row>
    <row r="50" spans="1:7" x14ac:dyDescent="0.25">
      <c r="A50" s="12" t="s">
        <v>96</v>
      </c>
      <c r="B50" s="102" t="s">
        <v>20</v>
      </c>
      <c r="C50" s="102" t="s">
        <v>63</v>
      </c>
      <c r="D50" s="102" t="s">
        <v>97</v>
      </c>
      <c r="E50" s="103">
        <f>прил.3!O71</f>
        <v>1596.3999999999999</v>
      </c>
    </row>
    <row r="51" spans="1:7" hidden="1" x14ac:dyDescent="0.25">
      <c r="A51" s="12"/>
      <c r="B51" s="102" t="s">
        <v>20</v>
      </c>
      <c r="C51" s="102" t="s">
        <v>63</v>
      </c>
      <c r="D51" s="102" t="s">
        <v>97</v>
      </c>
      <c r="E51" s="103"/>
    </row>
    <row r="52" spans="1:7" x14ac:dyDescent="0.25">
      <c r="A52" s="25" t="s">
        <v>42</v>
      </c>
      <c r="B52" s="100" t="s">
        <v>24</v>
      </c>
      <c r="C52" s="100" t="s">
        <v>16</v>
      </c>
      <c r="D52" s="100" t="s">
        <v>130</v>
      </c>
      <c r="E52" s="101">
        <f>E53+E55+E66+E69+E59+F74+E63</f>
        <v>126886.61</v>
      </c>
      <c r="G52" s="61"/>
    </row>
    <row r="53" spans="1:7" ht="19.5" hidden="1" customHeight="1" x14ac:dyDescent="0.25">
      <c r="A53" s="49" t="s">
        <v>283</v>
      </c>
      <c r="B53" s="100" t="s">
        <v>24</v>
      </c>
      <c r="C53" s="100" t="s">
        <v>15</v>
      </c>
      <c r="D53" s="100" t="s">
        <v>130</v>
      </c>
      <c r="E53" s="101">
        <f>E54</f>
        <v>0</v>
      </c>
    </row>
    <row r="54" spans="1:7" ht="43.5" hidden="1" customHeight="1" x14ac:dyDescent="0.25">
      <c r="A54" s="42"/>
      <c r="B54" s="102"/>
      <c r="C54" s="102"/>
      <c r="D54" s="102"/>
      <c r="E54" s="103"/>
    </row>
    <row r="55" spans="1:7" x14ac:dyDescent="0.25">
      <c r="A55" s="50" t="s">
        <v>174</v>
      </c>
      <c r="B55" s="100" t="s">
        <v>24</v>
      </c>
      <c r="C55" s="100" t="s">
        <v>17</v>
      </c>
      <c r="D55" s="100" t="s">
        <v>130</v>
      </c>
      <c r="E55" s="101">
        <f>E56+E58+E57</f>
        <v>312.05</v>
      </c>
    </row>
    <row r="56" spans="1:7" ht="30.75" customHeight="1" x14ac:dyDescent="0.25">
      <c r="A56" s="38" t="s">
        <v>631</v>
      </c>
      <c r="B56" s="102" t="s">
        <v>24</v>
      </c>
      <c r="C56" s="102" t="s">
        <v>17</v>
      </c>
      <c r="D56" s="102" t="s">
        <v>520</v>
      </c>
      <c r="E56" s="103">
        <f>прил.3!O404</f>
        <v>278.17</v>
      </c>
    </row>
    <row r="57" spans="1:7" ht="30" x14ac:dyDescent="0.25">
      <c r="A57" s="37" t="s">
        <v>522</v>
      </c>
      <c r="B57" s="102" t="s">
        <v>24</v>
      </c>
      <c r="C57" s="102" t="s">
        <v>17</v>
      </c>
      <c r="D57" s="102" t="s">
        <v>521</v>
      </c>
      <c r="E57" s="103">
        <f>прил.3!O406</f>
        <v>33.879999999999995</v>
      </c>
    </row>
    <row r="58" spans="1:7" hidden="1" x14ac:dyDescent="0.25">
      <c r="A58" s="17"/>
      <c r="B58" s="105"/>
      <c r="C58" s="105"/>
      <c r="D58" s="106"/>
      <c r="E58" s="107"/>
    </row>
    <row r="59" spans="1:7" x14ac:dyDescent="0.25">
      <c r="A59" s="36" t="s">
        <v>221</v>
      </c>
      <c r="B59" s="100" t="s">
        <v>24</v>
      </c>
      <c r="C59" s="100" t="s">
        <v>98</v>
      </c>
      <c r="D59" s="108" t="s">
        <v>130</v>
      </c>
      <c r="E59" s="101">
        <f>E62+E61+E60</f>
        <v>79264.34</v>
      </c>
    </row>
    <row r="60" spans="1:7" ht="62.25" customHeight="1" x14ac:dyDescent="0.25">
      <c r="A60" s="38" t="s">
        <v>591</v>
      </c>
      <c r="B60" s="102" t="s">
        <v>24</v>
      </c>
      <c r="C60" s="102" t="s">
        <v>98</v>
      </c>
      <c r="D60" s="109" t="s">
        <v>559</v>
      </c>
      <c r="E60" s="103">
        <f>прил.3!O417</f>
        <v>48406.82</v>
      </c>
    </row>
    <row r="61" spans="1:7" ht="60.75" customHeight="1" x14ac:dyDescent="0.25">
      <c r="A61" s="38" t="s">
        <v>592</v>
      </c>
      <c r="B61" s="102" t="s">
        <v>24</v>
      </c>
      <c r="C61" s="102" t="s">
        <v>98</v>
      </c>
      <c r="D61" s="109" t="s">
        <v>559</v>
      </c>
      <c r="E61" s="103">
        <f>прил.3!O418</f>
        <v>27857.520000000004</v>
      </c>
    </row>
    <row r="62" spans="1:7" ht="63" customHeight="1" x14ac:dyDescent="0.25">
      <c r="A62" s="38" t="s">
        <v>401</v>
      </c>
      <c r="B62" s="102" t="s">
        <v>24</v>
      </c>
      <c r="C62" s="102" t="s">
        <v>98</v>
      </c>
      <c r="D62" s="104" t="s">
        <v>427</v>
      </c>
      <c r="E62" s="103">
        <f>прил.3!O419</f>
        <v>3000</v>
      </c>
    </row>
    <row r="63" spans="1:7" x14ac:dyDescent="0.25">
      <c r="A63" s="68" t="s">
        <v>613</v>
      </c>
      <c r="B63" s="100" t="s">
        <v>24</v>
      </c>
      <c r="C63" s="100" t="s">
        <v>43</v>
      </c>
      <c r="D63" s="110" t="s">
        <v>130</v>
      </c>
      <c r="E63" s="101">
        <f>E64+E65</f>
        <v>13357.99</v>
      </c>
    </row>
    <row r="64" spans="1:7" ht="47.25" x14ac:dyDescent="0.25">
      <c r="A64" s="38" t="s">
        <v>614</v>
      </c>
      <c r="B64" s="102" t="s">
        <v>24</v>
      </c>
      <c r="C64" s="102" t="s">
        <v>43</v>
      </c>
      <c r="D64" s="104" t="s">
        <v>616</v>
      </c>
      <c r="E64" s="103">
        <f>прил.3!Q81</f>
        <v>10000</v>
      </c>
    </row>
    <row r="65" spans="1:5" ht="31.5" x14ac:dyDescent="0.25">
      <c r="A65" s="38" t="s">
        <v>623</v>
      </c>
      <c r="B65" s="102" t="s">
        <v>24</v>
      </c>
      <c r="C65" s="102" t="s">
        <v>43</v>
      </c>
      <c r="D65" s="104" t="s">
        <v>620</v>
      </c>
      <c r="E65" s="103">
        <f>прил.3!Q83</f>
        <v>3357.99</v>
      </c>
    </row>
    <row r="66" spans="1:5" x14ac:dyDescent="0.25">
      <c r="A66" s="16" t="s">
        <v>305</v>
      </c>
      <c r="B66" s="100" t="s">
        <v>24</v>
      </c>
      <c r="C66" s="100" t="s">
        <v>63</v>
      </c>
      <c r="D66" s="108" t="s">
        <v>130</v>
      </c>
      <c r="E66" s="101">
        <f>E68+E67</f>
        <v>24645.54</v>
      </c>
    </row>
    <row r="67" spans="1:5" ht="31.5" customHeight="1" x14ac:dyDescent="0.25">
      <c r="A67" s="17" t="s">
        <v>593</v>
      </c>
      <c r="B67" s="102" t="s">
        <v>24</v>
      </c>
      <c r="C67" s="102" t="s">
        <v>63</v>
      </c>
      <c r="D67" s="109" t="s">
        <v>609</v>
      </c>
      <c r="E67" s="103">
        <f>прил.3!O410</f>
        <v>10060.540000000001</v>
      </c>
    </row>
    <row r="68" spans="1:5" ht="28.5" customHeight="1" x14ac:dyDescent="0.25">
      <c r="A68" s="17" t="s">
        <v>441</v>
      </c>
      <c r="B68" s="102" t="s">
        <v>24</v>
      </c>
      <c r="C68" s="102" t="s">
        <v>63</v>
      </c>
      <c r="D68" s="104" t="s">
        <v>327</v>
      </c>
      <c r="E68" s="103">
        <f>прил.3!O411</f>
        <v>14585</v>
      </c>
    </row>
    <row r="69" spans="1:5" ht="14.25" customHeight="1" x14ac:dyDescent="0.25">
      <c r="A69" s="9" t="s">
        <v>166</v>
      </c>
      <c r="B69" s="100" t="s">
        <v>24</v>
      </c>
      <c r="C69" s="100" t="s">
        <v>27</v>
      </c>
      <c r="D69" s="100" t="s">
        <v>130</v>
      </c>
      <c r="E69" s="101">
        <f>E70+E75+E72</f>
        <v>9306.69</v>
      </c>
    </row>
    <row r="70" spans="1:5" ht="31.5" x14ac:dyDescent="0.25">
      <c r="A70" s="17" t="s">
        <v>36</v>
      </c>
      <c r="B70" s="102" t="s">
        <v>24</v>
      </c>
      <c r="C70" s="102" t="s">
        <v>27</v>
      </c>
      <c r="D70" s="104" t="s">
        <v>37</v>
      </c>
      <c r="E70" s="103">
        <f>E71</f>
        <v>3534.6</v>
      </c>
    </row>
    <row r="71" spans="1:5" ht="15" customHeight="1" x14ac:dyDescent="0.25">
      <c r="A71" s="12" t="s">
        <v>52</v>
      </c>
      <c r="B71" s="102" t="s">
        <v>24</v>
      </c>
      <c r="C71" s="102" t="s">
        <v>27</v>
      </c>
      <c r="D71" s="102" t="s">
        <v>328</v>
      </c>
      <c r="E71" s="103">
        <f>прил.3!O422</f>
        <v>3534.6</v>
      </c>
    </row>
    <row r="72" spans="1:5" ht="15" customHeight="1" x14ac:dyDescent="0.25">
      <c r="A72" s="21" t="s">
        <v>548</v>
      </c>
      <c r="B72" s="102" t="s">
        <v>24</v>
      </c>
      <c r="C72" s="102" t="s">
        <v>27</v>
      </c>
      <c r="D72" s="102" t="s">
        <v>545</v>
      </c>
      <c r="E72" s="103">
        <f>E73+E74</f>
        <v>3972.09</v>
      </c>
    </row>
    <row r="73" spans="1:5" ht="30.75" customHeight="1" x14ac:dyDescent="0.25">
      <c r="A73" s="21" t="s">
        <v>547</v>
      </c>
      <c r="B73" s="102" t="s">
        <v>24</v>
      </c>
      <c r="C73" s="102" t="s">
        <v>27</v>
      </c>
      <c r="D73" s="102" t="s">
        <v>546</v>
      </c>
      <c r="E73" s="103">
        <f>прил.3!O428</f>
        <v>3690.51</v>
      </c>
    </row>
    <row r="74" spans="1:5" ht="28.5" customHeight="1" x14ac:dyDescent="0.25">
      <c r="A74" s="21" t="s">
        <v>602</v>
      </c>
      <c r="B74" s="102" t="s">
        <v>24</v>
      </c>
      <c r="C74" s="102" t="s">
        <v>27</v>
      </c>
      <c r="D74" s="102" t="s">
        <v>601</v>
      </c>
      <c r="E74" s="103">
        <f>прил.3!O193</f>
        <v>281.58</v>
      </c>
    </row>
    <row r="75" spans="1:5" ht="31.5" customHeight="1" x14ac:dyDescent="0.25">
      <c r="A75" s="17" t="s">
        <v>400</v>
      </c>
      <c r="B75" s="102" t="s">
        <v>24</v>
      </c>
      <c r="C75" s="102" t="s">
        <v>27</v>
      </c>
      <c r="D75" s="102" t="s">
        <v>39</v>
      </c>
      <c r="E75" s="103">
        <f>E76+E77+E78+E79+E80+E81</f>
        <v>1800</v>
      </c>
    </row>
    <row r="76" spans="1:5" x14ac:dyDescent="0.25">
      <c r="A76" s="17" t="s">
        <v>407</v>
      </c>
      <c r="B76" s="102" t="s">
        <v>24</v>
      </c>
      <c r="C76" s="102" t="s">
        <v>27</v>
      </c>
      <c r="D76" s="104" t="s">
        <v>429</v>
      </c>
      <c r="E76" s="103">
        <f>прил.3!O431</f>
        <v>0</v>
      </c>
    </row>
    <row r="77" spans="1:5" ht="33.75" customHeight="1" x14ac:dyDescent="0.25">
      <c r="A77" s="17" t="s">
        <v>539</v>
      </c>
      <c r="B77" s="102" t="s">
        <v>24</v>
      </c>
      <c r="C77" s="102" t="s">
        <v>27</v>
      </c>
      <c r="D77" s="104" t="s">
        <v>428</v>
      </c>
      <c r="E77" s="103">
        <f>прил.3!O433</f>
        <v>16.53</v>
      </c>
    </row>
    <row r="78" spans="1:5" ht="77.25" customHeight="1" x14ac:dyDescent="0.25">
      <c r="A78" s="17" t="s">
        <v>411</v>
      </c>
      <c r="B78" s="102" t="s">
        <v>24</v>
      </c>
      <c r="C78" s="102" t="s">
        <v>27</v>
      </c>
      <c r="D78" s="104" t="s">
        <v>430</v>
      </c>
      <c r="E78" s="103">
        <f>прил.3!O437</f>
        <v>0</v>
      </c>
    </row>
    <row r="79" spans="1:5" x14ac:dyDescent="0.25">
      <c r="A79" s="17" t="s">
        <v>413</v>
      </c>
      <c r="B79" s="102" t="s">
        <v>24</v>
      </c>
      <c r="C79" s="102" t="s">
        <v>27</v>
      </c>
      <c r="D79" s="104" t="s">
        <v>431</v>
      </c>
      <c r="E79" s="103">
        <f>прил.3!O439</f>
        <v>983.47</v>
      </c>
    </row>
    <row r="80" spans="1:5" ht="45" customHeight="1" x14ac:dyDescent="0.25">
      <c r="A80" s="17" t="s">
        <v>308</v>
      </c>
      <c r="B80" s="102" t="s">
        <v>24</v>
      </c>
      <c r="C80" s="102" t="s">
        <v>27</v>
      </c>
      <c r="D80" s="104" t="s">
        <v>326</v>
      </c>
      <c r="E80" s="103">
        <f>прил.3!O86</f>
        <v>300</v>
      </c>
    </row>
    <row r="81" spans="1:7" ht="30.75" customHeight="1" x14ac:dyDescent="0.25">
      <c r="A81" s="17" t="s">
        <v>356</v>
      </c>
      <c r="B81" s="102" t="s">
        <v>24</v>
      </c>
      <c r="C81" s="102" t="s">
        <v>27</v>
      </c>
      <c r="D81" s="104" t="s">
        <v>175</v>
      </c>
      <c r="E81" s="103">
        <f>прил.3!O195+прил.3!O88+прил.3!O171+прил.3!O324+прил.3!O441+прил.3!O506</f>
        <v>500</v>
      </c>
    </row>
    <row r="82" spans="1:7" x14ac:dyDescent="0.25">
      <c r="A82" s="25" t="s">
        <v>45</v>
      </c>
      <c r="B82" s="100" t="s">
        <v>46</v>
      </c>
      <c r="C82" s="100" t="s">
        <v>16</v>
      </c>
      <c r="D82" s="100" t="s">
        <v>130</v>
      </c>
      <c r="E82" s="101">
        <f>E108+E115+E89+E83</f>
        <v>65226.12999999999</v>
      </c>
      <c r="G82" s="61"/>
    </row>
    <row r="83" spans="1:7" x14ac:dyDescent="0.25">
      <c r="A83" s="25" t="s">
        <v>419</v>
      </c>
      <c r="B83" s="100" t="s">
        <v>46</v>
      </c>
      <c r="C83" s="100" t="s">
        <v>15</v>
      </c>
      <c r="D83" s="100" t="s">
        <v>130</v>
      </c>
      <c r="E83" s="101">
        <f>E88+E84+E87+E85+E86</f>
        <v>11034.380000000001</v>
      </c>
    </row>
    <row r="84" spans="1:7" x14ac:dyDescent="0.25">
      <c r="A84" s="17" t="s">
        <v>483</v>
      </c>
      <c r="B84" s="102" t="s">
        <v>46</v>
      </c>
      <c r="C84" s="102" t="s">
        <v>15</v>
      </c>
      <c r="D84" s="102" t="s">
        <v>484</v>
      </c>
      <c r="E84" s="103">
        <f>прил.3!O199</f>
        <v>770.7</v>
      </c>
    </row>
    <row r="85" spans="1:7" ht="45" x14ac:dyDescent="0.25">
      <c r="A85" s="47" t="s">
        <v>572</v>
      </c>
      <c r="B85" s="102" t="s">
        <v>46</v>
      </c>
      <c r="C85" s="102" t="s">
        <v>15</v>
      </c>
      <c r="D85" s="102" t="s">
        <v>571</v>
      </c>
      <c r="E85" s="103">
        <f>прил.3!O92</f>
        <v>487.05</v>
      </c>
    </row>
    <row r="86" spans="1:7" ht="14.25" customHeight="1" x14ac:dyDescent="0.25">
      <c r="A86" s="47" t="s">
        <v>624</v>
      </c>
      <c r="B86" s="102" t="s">
        <v>46</v>
      </c>
      <c r="C86" s="102" t="s">
        <v>15</v>
      </c>
      <c r="D86" s="102" t="s">
        <v>573</v>
      </c>
      <c r="E86" s="103">
        <f>прил.3!O94</f>
        <v>892.37</v>
      </c>
    </row>
    <row r="87" spans="1:7" ht="44.25" customHeight="1" x14ac:dyDescent="0.25">
      <c r="A87" s="62" t="s">
        <v>625</v>
      </c>
      <c r="B87" s="102" t="s">
        <v>46</v>
      </c>
      <c r="C87" s="102" t="s">
        <v>15</v>
      </c>
      <c r="D87" s="104" t="s">
        <v>568</v>
      </c>
      <c r="E87" s="103">
        <f>прил.3!O96</f>
        <v>584.26</v>
      </c>
    </row>
    <row r="88" spans="1:7" ht="30" x14ac:dyDescent="0.25">
      <c r="A88" s="47" t="s">
        <v>420</v>
      </c>
      <c r="B88" s="102" t="s">
        <v>46</v>
      </c>
      <c r="C88" s="102" t="s">
        <v>15</v>
      </c>
      <c r="D88" s="104" t="s">
        <v>453</v>
      </c>
      <c r="E88" s="103">
        <f>прил.3!O98+прил.3!O510</f>
        <v>8300</v>
      </c>
    </row>
    <row r="89" spans="1:7" x14ac:dyDescent="0.25">
      <c r="A89" s="9" t="s">
        <v>47</v>
      </c>
      <c r="B89" s="100" t="s">
        <v>46</v>
      </c>
      <c r="C89" s="100" t="s">
        <v>17</v>
      </c>
      <c r="D89" s="100" t="s">
        <v>130</v>
      </c>
      <c r="E89" s="101">
        <f>E91+E105+E92+E106+E107+E103+E90+E93+E104+E100+E101+E102</f>
        <v>39220.619999999995</v>
      </c>
    </row>
    <row r="90" spans="1:7" ht="31.5" x14ac:dyDescent="0.25">
      <c r="A90" s="43" t="s">
        <v>377</v>
      </c>
      <c r="B90" s="102" t="s">
        <v>46</v>
      </c>
      <c r="C90" s="102" t="s">
        <v>17</v>
      </c>
      <c r="D90" s="102" t="s">
        <v>485</v>
      </c>
      <c r="E90" s="103">
        <f>прил.3!O205</f>
        <v>1162.79</v>
      </c>
    </row>
    <row r="91" spans="1:7" ht="33" customHeight="1" x14ac:dyDescent="0.25">
      <c r="A91" s="21" t="s">
        <v>596</v>
      </c>
      <c r="B91" s="102" t="s">
        <v>46</v>
      </c>
      <c r="C91" s="102" t="s">
        <v>17</v>
      </c>
      <c r="D91" s="102" t="s">
        <v>559</v>
      </c>
      <c r="E91" s="103">
        <f>прил.3!N450</f>
        <v>257.45999999999998</v>
      </c>
    </row>
    <row r="92" spans="1:7" x14ac:dyDescent="0.25">
      <c r="A92" s="18" t="s">
        <v>354</v>
      </c>
      <c r="B92" s="102" t="s">
        <v>46</v>
      </c>
      <c r="C92" s="102" t="s">
        <v>17</v>
      </c>
      <c r="D92" s="102" t="s">
        <v>203</v>
      </c>
      <c r="E92" s="103">
        <f>прил.3!O513</f>
        <v>4012.4</v>
      </c>
    </row>
    <row r="93" spans="1:7" x14ac:dyDescent="0.25">
      <c r="A93" s="18" t="s">
        <v>548</v>
      </c>
      <c r="B93" s="102" t="s">
        <v>46</v>
      </c>
      <c r="C93" s="102" t="s">
        <v>17</v>
      </c>
      <c r="D93" s="102" t="s">
        <v>545</v>
      </c>
      <c r="E93" s="103">
        <f>SUM(E94:E99)</f>
        <v>1257.7</v>
      </c>
    </row>
    <row r="94" spans="1:7" ht="30" x14ac:dyDescent="0.25">
      <c r="A94" s="37" t="s">
        <v>532</v>
      </c>
      <c r="B94" s="102" t="s">
        <v>46</v>
      </c>
      <c r="C94" s="102" t="s">
        <v>17</v>
      </c>
      <c r="D94" s="102" t="s">
        <v>610</v>
      </c>
      <c r="E94" s="103">
        <f>прил.3!O453</f>
        <v>379.15</v>
      </c>
    </row>
    <row r="95" spans="1:7" ht="36.75" customHeight="1" x14ac:dyDescent="0.25">
      <c r="A95" s="17" t="s">
        <v>553</v>
      </c>
      <c r="B95" s="102" t="s">
        <v>46</v>
      </c>
      <c r="C95" s="102" t="s">
        <v>17</v>
      </c>
      <c r="D95" s="102" t="s">
        <v>549</v>
      </c>
      <c r="E95" s="103">
        <f>прил.3!O455</f>
        <v>100.2</v>
      </c>
    </row>
    <row r="96" spans="1:7" ht="31.5" x14ac:dyDescent="0.25">
      <c r="A96" s="18" t="s">
        <v>554</v>
      </c>
      <c r="B96" s="102" t="s">
        <v>46</v>
      </c>
      <c r="C96" s="102" t="s">
        <v>17</v>
      </c>
      <c r="D96" s="102" t="s">
        <v>550</v>
      </c>
      <c r="E96" s="103">
        <f>прил.3!O457</f>
        <v>271.19</v>
      </c>
    </row>
    <row r="97" spans="1:5" x14ac:dyDescent="0.25">
      <c r="A97" s="18" t="s">
        <v>529</v>
      </c>
      <c r="B97" s="102" t="s">
        <v>46</v>
      </c>
      <c r="C97" s="102" t="s">
        <v>17</v>
      </c>
      <c r="D97" s="102" t="s">
        <v>551</v>
      </c>
      <c r="E97" s="103">
        <f>прил.3!O459</f>
        <v>329.16</v>
      </c>
    </row>
    <row r="98" spans="1:5" ht="30.75" customHeight="1" x14ac:dyDescent="0.25">
      <c r="A98" s="18" t="s">
        <v>476</v>
      </c>
      <c r="B98" s="102" t="s">
        <v>46</v>
      </c>
      <c r="C98" s="102" t="s">
        <v>17</v>
      </c>
      <c r="D98" s="102" t="s">
        <v>552</v>
      </c>
      <c r="E98" s="103">
        <f>прил.3!O516</f>
        <v>140</v>
      </c>
    </row>
    <row r="99" spans="1:5" ht="15.75" customHeight="1" x14ac:dyDescent="0.25">
      <c r="A99" s="18" t="s">
        <v>542</v>
      </c>
      <c r="B99" s="102" t="s">
        <v>46</v>
      </c>
      <c r="C99" s="102" t="s">
        <v>17</v>
      </c>
      <c r="D99" s="102" t="s">
        <v>555</v>
      </c>
      <c r="E99" s="103">
        <f>прил.3!O517</f>
        <v>38</v>
      </c>
    </row>
    <row r="100" spans="1:5" x14ac:dyDescent="0.25">
      <c r="A100" s="17" t="s">
        <v>407</v>
      </c>
      <c r="B100" s="102" t="s">
        <v>46</v>
      </c>
      <c r="C100" s="102" t="s">
        <v>17</v>
      </c>
      <c r="D100" s="104" t="s">
        <v>429</v>
      </c>
      <c r="E100" s="103">
        <f>прил.3!O463</f>
        <v>465.2</v>
      </c>
    </row>
    <row r="101" spans="1:5" ht="15.75" customHeight="1" x14ac:dyDescent="0.25">
      <c r="A101" s="17" t="s">
        <v>408</v>
      </c>
      <c r="B101" s="102" t="s">
        <v>46</v>
      </c>
      <c r="C101" s="102" t="s">
        <v>17</v>
      </c>
      <c r="D101" s="104" t="s">
        <v>564</v>
      </c>
      <c r="E101" s="103">
        <f>прил.3!O465</f>
        <v>519.97</v>
      </c>
    </row>
    <row r="102" spans="1:5" ht="77.25" customHeight="1" x14ac:dyDescent="0.25">
      <c r="A102" s="17" t="s">
        <v>411</v>
      </c>
      <c r="B102" s="102" t="s">
        <v>46</v>
      </c>
      <c r="C102" s="102" t="s">
        <v>17</v>
      </c>
      <c r="D102" s="104" t="s">
        <v>430</v>
      </c>
      <c r="E102" s="103">
        <f>прил.3!O467</f>
        <v>113.6</v>
      </c>
    </row>
    <row r="103" spans="1:5" ht="31.5" x14ac:dyDescent="0.25">
      <c r="A103" s="17" t="s">
        <v>423</v>
      </c>
      <c r="B103" s="102" t="s">
        <v>46</v>
      </c>
      <c r="C103" s="102" t="s">
        <v>17</v>
      </c>
      <c r="D103" s="102" t="s">
        <v>434</v>
      </c>
      <c r="E103" s="103">
        <f>прил.3!O101</f>
        <v>140</v>
      </c>
    </row>
    <row r="104" spans="1:5" ht="31.5" x14ac:dyDescent="0.25">
      <c r="A104" s="17" t="s">
        <v>532</v>
      </c>
      <c r="B104" s="102" t="s">
        <v>46</v>
      </c>
      <c r="C104" s="102" t="s">
        <v>17</v>
      </c>
      <c r="D104" s="102" t="s">
        <v>556</v>
      </c>
      <c r="E104" s="103">
        <f>прил.3!O461</f>
        <v>400</v>
      </c>
    </row>
    <row r="105" spans="1:5" ht="28.5" customHeight="1" x14ac:dyDescent="0.25">
      <c r="A105" s="17" t="s">
        <v>417</v>
      </c>
      <c r="B105" s="102" t="s">
        <v>46</v>
      </c>
      <c r="C105" s="102" t="s">
        <v>17</v>
      </c>
      <c r="D105" s="104" t="s">
        <v>440</v>
      </c>
      <c r="E105" s="103">
        <f>прил.3!O469+прил.3!O103</f>
        <v>30891.5</v>
      </c>
    </row>
    <row r="106" spans="1:5" ht="46.5" hidden="1" customHeight="1" x14ac:dyDescent="0.25">
      <c r="A106" s="17" t="s">
        <v>365</v>
      </c>
      <c r="B106" s="102" t="s">
        <v>46</v>
      </c>
      <c r="C106" s="102" t="s">
        <v>17</v>
      </c>
      <c r="D106" s="109" t="s">
        <v>349</v>
      </c>
      <c r="E106" s="103">
        <f>прил.3!O471</f>
        <v>0</v>
      </c>
    </row>
    <row r="107" spans="1:5" ht="44.25" hidden="1" customHeight="1" x14ac:dyDescent="0.25">
      <c r="A107" s="17" t="s">
        <v>355</v>
      </c>
      <c r="B107" s="102" t="s">
        <v>46</v>
      </c>
      <c r="C107" s="102" t="s">
        <v>17</v>
      </c>
      <c r="D107" s="109" t="s">
        <v>353</v>
      </c>
      <c r="E107" s="103">
        <f>прил.3!O473</f>
        <v>0</v>
      </c>
    </row>
    <row r="108" spans="1:5" x14ac:dyDescent="0.25">
      <c r="A108" s="9" t="s">
        <v>48</v>
      </c>
      <c r="B108" s="100" t="s">
        <v>46</v>
      </c>
      <c r="C108" s="100" t="s">
        <v>20</v>
      </c>
      <c r="D108" s="100" t="s">
        <v>130</v>
      </c>
      <c r="E108" s="101">
        <f>E112+E113+E114+E111+E109+E110</f>
        <v>9322.1799999999985</v>
      </c>
    </row>
    <row r="109" spans="1:5" ht="31.5" x14ac:dyDescent="0.25">
      <c r="A109" s="12" t="s">
        <v>510</v>
      </c>
      <c r="B109" s="102" t="s">
        <v>46</v>
      </c>
      <c r="C109" s="102" t="s">
        <v>20</v>
      </c>
      <c r="D109" s="102" t="s">
        <v>161</v>
      </c>
      <c r="E109" s="103">
        <f>прил.3!O107</f>
        <v>9</v>
      </c>
    </row>
    <row r="110" spans="1:5" x14ac:dyDescent="0.25">
      <c r="A110" s="12" t="s">
        <v>577</v>
      </c>
      <c r="B110" s="102" t="s">
        <v>46</v>
      </c>
      <c r="C110" s="102" t="s">
        <v>20</v>
      </c>
      <c r="D110" s="102" t="s">
        <v>485</v>
      </c>
      <c r="E110" s="103">
        <f>прил.3!O208</f>
        <v>88.08</v>
      </c>
    </row>
    <row r="111" spans="1:5" x14ac:dyDescent="0.25">
      <c r="A111" s="12" t="s">
        <v>478</v>
      </c>
      <c r="B111" s="102" t="s">
        <v>46</v>
      </c>
      <c r="C111" s="102" t="s">
        <v>20</v>
      </c>
      <c r="D111" s="102" t="s">
        <v>558</v>
      </c>
      <c r="E111" s="103">
        <f>прил.3!O519</f>
        <v>2705.5</v>
      </c>
    </row>
    <row r="112" spans="1:5" ht="29.25" customHeight="1" x14ac:dyDescent="0.25">
      <c r="A112" s="12" t="s">
        <v>480</v>
      </c>
      <c r="B112" s="102" t="s">
        <v>46</v>
      </c>
      <c r="C112" s="102" t="s">
        <v>20</v>
      </c>
      <c r="D112" s="102" t="s">
        <v>557</v>
      </c>
      <c r="E112" s="103">
        <f>прил.3!O521</f>
        <v>207.4</v>
      </c>
    </row>
    <row r="113" spans="1:7" x14ac:dyDescent="0.25">
      <c r="A113" s="12" t="s">
        <v>99</v>
      </c>
      <c r="B113" s="102" t="s">
        <v>46</v>
      </c>
      <c r="C113" s="102" t="s">
        <v>20</v>
      </c>
      <c r="D113" s="102" t="s">
        <v>100</v>
      </c>
      <c r="E113" s="107">
        <f>прил.3!O210+прил.3!O523</f>
        <v>580</v>
      </c>
    </row>
    <row r="114" spans="1:7" ht="15" customHeight="1" x14ac:dyDescent="0.25">
      <c r="A114" s="12" t="s">
        <v>49</v>
      </c>
      <c r="B114" s="102" t="s">
        <v>46</v>
      </c>
      <c r="C114" s="102" t="s">
        <v>20</v>
      </c>
      <c r="D114" s="102" t="s">
        <v>50</v>
      </c>
      <c r="E114" s="107">
        <f>прил.3!O476+прил.3!O525</f>
        <v>5732.2</v>
      </c>
    </row>
    <row r="115" spans="1:7" ht="13.5" customHeight="1" x14ac:dyDescent="0.25">
      <c r="A115" s="9" t="s">
        <v>51</v>
      </c>
      <c r="B115" s="100" t="s">
        <v>46</v>
      </c>
      <c r="C115" s="100" t="s">
        <v>46</v>
      </c>
      <c r="D115" s="100" t="s">
        <v>130</v>
      </c>
      <c r="E115" s="101">
        <f>E116+E117</f>
        <v>5648.9500000000007</v>
      </c>
    </row>
    <row r="116" spans="1:7" ht="15" customHeight="1" x14ac:dyDescent="0.25">
      <c r="A116" s="12" t="s">
        <v>52</v>
      </c>
      <c r="B116" s="102" t="s">
        <v>46</v>
      </c>
      <c r="C116" s="102" t="s">
        <v>46</v>
      </c>
      <c r="D116" s="102" t="s">
        <v>53</v>
      </c>
      <c r="E116" s="103">
        <f>прил.3!O528</f>
        <v>4354.05</v>
      </c>
    </row>
    <row r="117" spans="1:7" x14ac:dyDescent="0.25">
      <c r="A117" s="12" t="s">
        <v>142</v>
      </c>
      <c r="B117" s="102" t="s">
        <v>46</v>
      </c>
      <c r="C117" s="102" t="s">
        <v>46</v>
      </c>
      <c r="D117" s="102" t="s">
        <v>54</v>
      </c>
      <c r="E117" s="103">
        <f>прил.3!O110</f>
        <v>1294.9000000000001</v>
      </c>
    </row>
    <row r="118" spans="1:7" x14ac:dyDescent="0.25">
      <c r="A118" s="25" t="s">
        <v>55</v>
      </c>
      <c r="B118" s="100" t="s">
        <v>56</v>
      </c>
      <c r="C118" s="100" t="s">
        <v>16</v>
      </c>
      <c r="D118" s="100" t="s">
        <v>130</v>
      </c>
      <c r="E118" s="101">
        <f>E119+E130+E147+E150+E157</f>
        <v>297761.96999999997</v>
      </c>
      <c r="G118" s="61"/>
    </row>
    <row r="119" spans="1:7" x14ac:dyDescent="0.25">
      <c r="A119" s="9" t="s">
        <v>57</v>
      </c>
      <c r="B119" s="100" t="s">
        <v>56</v>
      </c>
      <c r="C119" s="100" t="s">
        <v>15</v>
      </c>
      <c r="D119" s="100" t="s">
        <v>130</v>
      </c>
      <c r="E119" s="101">
        <f>E123+E128+E121+E129+E122+E124+E125+E126+E127+E120</f>
        <v>185531.97</v>
      </c>
    </row>
    <row r="120" spans="1:7" x14ac:dyDescent="0.25">
      <c r="A120" s="21" t="s">
        <v>580</v>
      </c>
      <c r="B120" s="102" t="s">
        <v>56</v>
      </c>
      <c r="C120" s="102" t="s">
        <v>15</v>
      </c>
      <c r="D120" s="102" t="s">
        <v>603</v>
      </c>
      <c r="E120" s="103">
        <f>прил.3!O214</f>
        <v>884.82</v>
      </c>
    </row>
    <row r="121" spans="1:7" ht="45" customHeight="1" x14ac:dyDescent="0.25">
      <c r="A121" s="17" t="s">
        <v>340</v>
      </c>
      <c r="B121" s="102" t="s">
        <v>56</v>
      </c>
      <c r="C121" s="102" t="s">
        <v>15</v>
      </c>
      <c r="D121" s="102" t="s">
        <v>492</v>
      </c>
      <c r="E121" s="103">
        <f>прил.3!O217</f>
        <v>144.09</v>
      </c>
    </row>
    <row r="122" spans="1:7" ht="46.5" customHeight="1" x14ac:dyDescent="0.25">
      <c r="A122" s="17" t="s">
        <v>487</v>
      </c>
      <c r="B122" s="102" t="s">
        <v>56</v>
      </c>
      <c r="C122" s="102" t="s">
        <v>15</v>
      </c>
      <c r="D122" s="102" t="s">
        <v>493</v>
      </c>
      <c r="E122" s="103">
        <f>прил.3!O219</f>
        <v>371.28</v>
      </c>
    </row>
    <row r="123" spans="1:7" ht="17.25" customHeight="1" x14ac:dyDescent="0.25">
      <c r="A123" s="21" t="s">
        <v>52</v>
      </c>
      <c r="B123" s="102" t="s">
        <v>56</v>
      </c>
      <c r="C123" s="102" t="s">
        <v>15</v>
      </c>
      <c r="D123" s="102" t="s">
        <v>58</v>
      </c>
      <c r="E123" s="103">
        <f>прил.3!O221+прил.3!O225</f>
        <v>49337.479999999996</v>
      </c>
    </row>
    <row r="124" spans="1:7" ht="45" customHeight="1" x14ac:dyDescent="0.25">
      <c r="A124" s="21" t="s">
        <v>490</v>
      </c>
      <c r="B124" s="102" t="s">
        <v>56</v>
      </c>
      <c r="C124" s="102" t="s">
        <v>15</v>
      </c>
      <c r="D124" s="102" t="s">
        <v>494</v>
      </c>
      <c r="E124" s="103">
        <f>прил.3!O228</f>
        <v>908.90000000000009</v>
      </c>
    </row>
    <row r="125" spans="1:7" ht="46.5" customHeight="1" x14ac:dyDescent="0.25">
      <c r="A125" s="17" t="s">
        <v>491</v>
      </c>
      <c r="B125" s="102" t="s">
        <v>56</v>
      </c>
      <c r="C125" s="102" t="s">
        <v>15</v>
      </c>
      <c r="D125" s="102" t="s">
        <v>495</v>
      </c>
      <c r="E125" s="103">
        <f>прил.3!O231</f>
        <v>2238</v>
      </c>
    </row>
    <row r="126" spans="1:7" ht="30" customHeight="1" x14ac:dyDescent="0.25">
      <c r="A126" s="38" t="s">
        <v>415</v>
      </c>
      <c r="B126" s="102" t="s">
        <v>56</v>
      </c>
      <c r="C126" s="102" t="s">
        <v>15</v>
      </c>
      <c r="D126" s="102" t="s">
        <v>559</v>
      </c>
      <c r="E126" s="103">
        <f>прил.3!O480</f>
        <v>122861.1</v>
      </c>
    </row>
    <row r="127" spans="1:7" ht="28.5" customHeight="1" x14ac:dyDescent="0.25">
      <c r="A127" s="38" t="s">
        <v>561</v>
      </c>
      <c r="B127" s="102" t="s">
        <v>56</v>
      </c>
      <c r="C127" s="102" t="s">
        <v>15</v>
      </c>
      <c r="D127" s="102" t="s">
        <v>560</v>
      </c>
      <c r="E127" s="103">
        <f>прил.3!O482</f>
        <v>6000</v>
      </c>
    </row>
    <row r="128" spans="1:7" ht="18.75" customHeight="1" x14ac:dyDescent="0.25">
      <c r="A128" s="35" t="s">
        <v>304</v>
      </c>
      <c r="B128" s="102" t="s">
        <v>56</v>
      </c>
      <c r="C128" s="102" t="s">
        <v>15</v>
      </c>
      <c r="D128" s="104" t="s">
        <v>344</v>
      </c>
      <c r="E128" s="103">
        <f>прил.3!O484</f>
        <v>500</v>
      </c>
    </row>
    <row r="129" spans="1:5" ht="15.75" customHeight="1" x14ac:dyDescent="0.25">
      <c r="A129" s="17" t="s">
        <v>398</v>
      </c>
      <c r="B129" s="102" t="s">
        <v>56</v>
      </c>
      <c r="C129" s="102" t="s">
        <v>15</v>
      </c>
      <c r="D129" s="104" t="s">
        <v>435</v>
      </c>
      <c r="E129" s="103">
        <f>прил.3!O486+прил.3!O234</f>
        <v>2286.3000000000002</v>
      </c>
    </row>
    <row r="130" spans="1:5" x14ac:dyDescent="0.25">
      <c r="A130" s="9" t="s">
        <v>80</v>
      </c>
      <c r="B130" s="100" t="s">
        <v>56</v>
      </c>
      <c r="C130" s="100" t="s">
        <v>17</v>
      </c>
      <c r="D130" s="100" t="s">
        <v>130</v>
      </c>
      <c r="E130" s="101">
        <f>E131+E134+E136+E145+E138+E142+E141+E143+E139+E140+E144+E146</f>
        <v>102041.25</v>
      </c>
    </row>
    <row r="131" spans="1:5" ht="18" customHeight="1" x14ac:dyDescent="0.25">
      <c r="A131" s="12" t="s">
        <v>118</v>
      </c>
      <c r="B131" s="102" t="s">
        <v>56</v>
      </c>
      <c r="C131" s="102" t="s">
        <v>17</v>
      </c>
      <c r="D131" s="102" t="s">
        <v>119</v>
      </c>
      <c r="E131" s="103">
        <f>E132</f>
        <v>13603.939999999999</v>
      </c>
    </row>
    <row r="132" spans="1:5" ht="14.25" customHeight="1" x14ac:dyDescent="0.25">
      <c r="A132" s="12" t="s">
        <v>52</v>
      </c>
      <c r="B132" s="102" t="s">
        <v>56</v>
      </c>
      <c r="C132" s="102" t="s">
        <v>17</v>
      </c>
      <c r="D132" s="102" t="s">
        <v>119</v>
      </c>
      <c r="E132" s="107">
        <f>прил.3!O238</f>
        <v>13603.939999999999</v>
      </c>
    </row>
    <row r="133" spans="1:5" ht="47.25" hidden="1" x14ac:dyDescent="0.25">
      <c r="A133" s="12" t="s">
        <v>180</v>
      </c>
      <c r="B133" s="102" t="s">
        <v>56</v>
      </c>
      <c r="C133" s="102" t="s">
        <v>17</v>
      </c>
      <c r="D133" s="102" t="s">
        <v>181</v>
      </c>
      <c r="E133" s="103"/>
    </row>
    <row r="134" spans="1:5" x14ac:dyDescent="0.25">
      <c r="A134" s="12" t="s">
        <v>81</v>
      </c>
      <c r="B134" s="102" t="s">
        <v>56</v>
      </c>
      <c r="C134" s="102" t="s">
        <v>17</v>
      </c>
      <c r="D134" s="102" t="s">
        <v>82</v>
      </c>
      <c r="E134" s="103">
        <f>E135</f>
        <v>24941.3</v>
      </c>
    </row>
    <row r="135" spans="1:5" ht="15.75" customHeight="1" x14ac:dyDescent="0.25">
      <c r="A135" s="12" t="s">
        <v>52</v>
      </c>
      <c r="B135" s="102" t="s">
        <v>56</v>
      </c>
      <c r="C135" s="102" t="s">
        <v>17</v>
      </c>
      <c r="D135" s="102" t="s">
        <v>83</v>
      </c>
      <c r="E135" s="103">
        <f>прил.3!O245</f>
        <v>24941.3</v>
      </c>
    </row>
    <row r="136" spans="1:5" ht="23.25" hidden="1" customHeight="1" x14ac:dyDescent="0.25">
      <c r="A136" s="19" t="s">
        <v>79</v>
      </c>
      <c r="B136" s="102" t="s">
        <v>56</v>
      </c>
      <c r="C136" s="102" t="s">
        <v>17</v>
      </c>
      <c r="D136" s="102" t="s">
        <v>94</v>
      </c>
      <c r="E136" s="103"/>
    </row>
    <row r="137" spans="1:5" ht="28.5" hidden="1" customHeight="1" x14ac:dyDescent="0.25">
      <c r="A137" s="18" t="s">
        <v>121</v>
      </c>
      <c r="B137" s="102" t="s">
        <v>56</v>
      </c>
      <c r="C137" s="102" t="s">
        <v>17</v>
      </c>
      <c r="D137" s="102" t="s">
        <v>122</v>
      </c>
      <c r="E137" s="103"/>
    </row>
    <row r="138" spans="1:5" ht="28.5" customHeight="1" x14ac:dyDescent="0.25">
      <c r="A138" s="17" t="s">
        <v>628</v>
      </c>
      <c r="B138" s="102" t="s">
        <v>56</v>
      </c>
      <c r="C138" s="102" t="s">
        <v>17</v>
      </c>
      <c r="D138" s="102" t="s">
        <v>500</v>
      </c>
      <c r="E138" s="103">
        <f>прил.3!O249</f>
        <v>2288</v>
      </c>
    </row>
    <row r="139" spans="1:5" ht="28.5" customHeight="1" x14ac:dyDescent="0.25">
      <c r="A139" s="17" t="s">
        <v>512</v>
      </c>
      <c r="B139" s="102" t="s">
        <v>56</v>
      </c>
      <c r="C139" s="102" t="s">
        <v>17</v>
      </c>
      <c r="D139" s="102" t="s">
        <v>563</v>
      </c>
      <c r="E139" s="103">
        <f>прил.3!O115</f>
        <v>44</v>
      </c>
    </row>
    <row r="140" spans="1:5" ht="28.5" customHeight="1" x14ac:dyDescent="0.25">
      <c r="A140" s="17" t="s">
        <v>121</v>
      </c>
      <c r="B140" s="102" t="s">
        <v>56</v>
      </c>
      <c r="C140" s="102" t="s">
        <v>17</v>
      </c>
      <c r="D140" s="102" t="s">
        <v>604</v>
      </c>
      <c r="E140" s="103">
        <f>прил.3!O252</f>
        <v>819</v>
      </c>
    </row>
    <row r="141" spans="1:5" ht="76.5" customHeight="1" x14ac:dyDescent="0.25">
      <c r="A141" s="12" t="s">
        <v>120</v>
      </c>
      <c r="B141" s="102" t="s">
        <v>56</v>
      </c>
      <c r="C141" s="102" t="s">
        <v>17</v>
      </c>
      <c r="D141" s="102" t="s">
        <v>439</v>
      </c>
      <c r="E141" s="103">
        <f>прил.3!O255</f>
        <v>46904.000000000007</v>
      </c>
    </row>
    <row r="142" spans="1:5" ht="30.75" customHeight="1" x14ac:dyDescent="0.25">
      <c r="A142" s="17" t="s">
        <v>499</v>
      </c>
      <c r="B142" s="102" t="s">
        <v>56</v>
      </c>
      <c r="C142" s="102" t="s">
        <v>17</v>
      </c>
      <c r="D142" s="102" t="s">
        <v>501</v>
      </c>
      <c r="E142" s="103">
        <f>прил.3!O262</f>
        <v>640</v>
      </c>
    </row>
    <row r="143" spans="1:5" ht="30.75" customHeight="1" x14ac:dyDescent="0.25">
      <c r="A143" s="17" t="s">
        <v>536</v>
      </c>
      <c r="B143" s="102" t="s">
        <v>56</v>
      </c>
      <c r="C143" s="102" t="s">
        <v>17</v>
      </c>
      <c r="D143" s="102" t="s">
        <v>562</v>
      </c>
      <c r="E143" s="103">
        <f>прил.3!O489</f>
        <v>5807.65</v>
      </c>
    </row>
    <row r="144" spans="1:5" ht="34.5" customHeight="1" x14ac:dyDescent="0.25">
      <c r="A144" s="12" t="s">
        <v>605</v>
      </c>
      <c r="B144" s="102" t="s">
        <v>56</v>
      </c>
      <c r="C144" s="102" t="s">
        <v>17</v>
      </c>
      <c r="D144" s="102" t="s">
        <v>176</v>
      </c>
      <c r="E144" s="103">
        <f>прил.3!O267</f>
        <v>1129.4499999999998</v>
      </c>
    </row>
    <row r="145" spans="1:5" ht="30" customHeight="1" x14ac:dyDescent="0.25">
      <c r="A145" s="17" t="s">
        <v>398</v>
      </c>
      <c r="B145" s="102" t="s">
        <v>56</v>
      </c>
      <c r="C145" s="102" t="s">
        <v>17</v>
      </c>
      <c r="D145" s="104" t="s">
        <v>435</v>
      </c>
      <c r="E145" s="103">
        <f>прил.3!O264</f>
        <v>5737.7</v>
      </c>
    </row>
    <row r="146" spans="1:5" ht="30" x14ac:dyDescent="0.25">
      <c r="A146" s="37" t="s">
        <v>599</v>
      </c>
      <c r="B146" s="102" t="s">
        <v>56</v>
      </c>
      <c r="C146" s="102" t="s">
        <v>17</v>
      </c>
      <c r="D146" s="104" t="s">
        <v>611</v>
      </c>
      <c r="E146" s="103">
        <f>прил.3!N492</f>
        <v>126.21</v>
      </c>
    </row>
    <row r="147" spans="1:5" ht="31.5" x14ac:dyDescent="0.25">
      <c r="A147" s="9" t="s">
        <v>76</v>
      </c>
      <c r="B147" s="100" t="s">
        <v>56</v>
      </c>
      <c r="C147" s="100" t="s">
        <v>46</v>
      </c>
      <c r="D147" s="100" t="s">
        <v>130</v>
      </c>
      <c r="E147" s="101">
        <f>E148</f>
        <v>45</v>
      </c>
    </row>
    <row r="148" spans="1:5" ht="15" customHeight="1" x14ac:dyDescent="0.25">
      <c r="A148" s="12" t="s">
        <v>123</v>
      </c>
      <c r="B148" s="102" t="s">
        <v>56</v>
      </c>
      <c r="C148" s="102" t="s">
        <v>46</v>
      </c>
      <c r="D148" s="102" t="s">
        <v>124</v>
      </c>
      <c r="E148" s="103">
        <f>E149</f>
        <v>45</v>
      </c>
    </row>
    <row r="149" spans="1:5" ht="15" customHeight="1" x14ac:dyDescent="0.25">
      <c r="A149" s="12" t="s">
        <v>77</v>
      </c>
      <c r="B149" s="102" t="s">
        <v>56</v>
      </c>
      <c r="C149" s="102" t="s">
        <v>46</v>
      </c>
      <c r="D149" s="102" t="s">
        <v>78</v>
      </c>
      <c r="E149" s="103">
        <f>прил.3!O271</f>
        <v>45</v>
      </c>
    </row>
    <row r="150" spans="1:5" x14ac:dyDescent="0.25">
      <c r="A150" s="9" t="s">
        <v>59</v>
      </c>
      <c r="B150" s="100" t="s">
        <v>56</v>
      </c>
      <c r="C150" s="100" t="s">
        <v>56</v>
      </c>
      <c r="D150" s="100" t="s">
        <v>130</v>
      </c>
      <c r="E150" s="101">
        <f>E151+E153</f>
        <v>2915</v>
      </c>
    </row>
    <row r="151" spans="1:5" ht="15.75" customHeight="1" x14ac:dyDescent="0.25">
      <c r="A151" s="12" t="s">
        <v>143</v>
      </c>
      <c r="B151" s="102" t="s">
        <v>56</v>
      </c>
      <c r="C151" s="102" t="s">
        <v>56</v>
      </c>
      <c r="D151" s="102" t="s">
        <v>144</v>
      </c>
      <c r="E151" s="103">
        <f>E152</f>
        <v>680</v>
      </c>
    </row>
    <row r="152" spans="1:5" ht="17.25" customHeight="1" x14ac:dyDescent="0.25">
      <c r="A152" s="12" t="s">
        <v>60</v>
      </c>
      <c r="B152" s="102" t="s">
        <v>56</v>
      </c>
      <c r="C152" s="102" t="s">
        <v>56</v>
      </c>
      <c r="D152" s="102" t="s">
        <v>61</v>
      </c>
      <c r="E152" s="103">
        <f>прил.3!O118</f>
        <v>680</v>
      </c>
    </row>
    <row r="153" spans="1:5" ht="15.75" customHeight="1" x14ac:dyDescent="0.25">
      <c r="A153" s="12" t="s">
        <v>145</v>
      </c>
      <c r="B153" s="102" t="s">
        <v>56</v>
      </c>
      <c r="C153" s="102" t="s">
        <v>56</v>
      </c>
      <c r="D153" s="102" t="s">
        <v>84</v>
      </c>
      <c r="E153" s="107">
        <f>E154+E155+E156</f>
        <v>2235</v>
      </c>
    </row>
    <row r="154" spans="1:5" x14ac:dyDescent="0.25">
      <c r="A154" s="12" t="s">
        <v>85</v>
      </c>
      <c r="B154" s="102" t="s">
        <v>56</v>
      </c>
      <c r="C154" s="102" t="s">
        <v>56</v>
      </c>
      <c r="D154" s="102" t="s">
        <v>86</v>
      </c>
      <c r="E154" s="103">
        <f>прил.3!O276+прил.3!O120+прил.3!O328</f>
        <v>1130</v>
      </c>
    </row>
    <row r="155" spans="1:5" ht="32.25" customHeight="1" x14ac:dyDescent="0.25">
      <c r="A155" s="38" t="s">
        <v>464</v>
      </c>
      <c r="B155" s="102" t="s">
        <v>56</v>
      </c>
      <c r="C155" s="102" t="s">
        <v>56</v>
      </c>
      <c r="D155" s="102" t="s">
        <v>462</v>
      </c>
      <c r="E155" s="103">
        <f>прил.3!O330+прил.3!O277</f>
        <v>401</v>
      </c>
    </row>
    <row r="156" spans="1:5" ht="16.5" customHeight="1" x14ac:dyDescent="0.25">
      <c r="A156" s="37" t="s">
        <v>460</v>
      </c>
      <c r="B156" s="102" t="s">
        <v>56</v>
      </c>
      <c r="C156" s="102" t="s">
        <v>56</v>
      </c>
      <c r="D156" s="102" t="s">
        <v>606</v>
      </c>
      <c r="E156" s="103">
        <f>прил.3!O332+прил.3!O279</f>
        <v>704</v>
      </c>
    </row>
    <row r="157" spans="1:5" x14ac:dyDescent="0.25">
      <c r="A157" s="9" t="s">
        <v>62</v>
      </c>
      <c r="B157" s="100" t="s">
        <v>56</v>
      </c>
      <c r="C157" s="100" t="s">
        <v>63</v>
      </c>
      <c r="D157" s="100" t="s">
        <v>130</v>
      </c>
      <c r="E157" s="101">
        <f>E160+E163+E164+E165+E158+E159</f>
        <v>7228.75</v>
      </c>
    </row>
    <row r="158" spans="1:5" ht="31.5" x14ac:dyDescent="0.25">
      <c r="A158" s="21" t="s">
        <v>121</v>
      </c>
      <c r="B158" s="102" t="s">
        <v>56</v>
      </c>
      <c r="C158" s="102" t="s">
        <v>63</v>
      </c>
      <c r="D158" s="102" t="s">
        <v>604</v>
      </c>
      <c r="E158" s="103">
        <f>прил.3!O282</f>
        <v>122</v>
      </c>
    </row>
    <row r="159" spans="1:5" ht="29.25" customHeight="1" x14ac:dyDescent="0.25">
      <c r="A159" s="12" t="s">
        <v>173</v>
      </c>
      <c r="B159" s="102" t="s">
        <v>56</v>
      </c>
      <c r="C159" s="102" t="s">
        <v>63</v>
      </c>
      <c r="D159" s="102" t="s">
        <v>439</v>
      </c>
      <c r="E159" s="103">
        <f>прил.3!O284</f>
        <v>1982.8</v>
      </c>
    </row>
    <row r="160" spans="1:5" x14ac:dyDescent="0.25">
      <c r="A160" s="12" t="s">
        <v>146</v>
      </c>
      <c r="B160" s="102" t="s">
        <v>56</v>
      </c>
      <c r="C160" s="102" t="s">
        <v>63</v>
      </c>
      <c r="D160" s="102" t="s">
        <v>147</v>
      </c>
      <c r="E160" s="103">
        <f>E161+E162</f>
        <v>800</v>
      </c>
    </row>
    <row r="161" spans="1:7" x14ac:dyDescent="0.25">
      <c r="A161" s="12" t="s">
        <v>60</v>
      </c>
      <c r="B161" s="102" t="s">
        <v>56</v>
      </c>
      <c r="C161" s="102" t="s">
        <v>63</v>
      </c>
      <c r="D161" s="102" t="s">
        <v>64</v>
      </c>
      <c r="E161" s="103">
        <f>прил.3!O123</f>
        <v>470</v>
      </c>
    </row>
    <row r="162" spans="1:7" x14ac:dyDescent="0.25">
      <c r="A162" s="37" t="s">
        <v>386</v>
      </c>
      <c r="B162" s="102" t="s">
        <v>56</v>
      </c>
      <c r="C162" s="102" t="s">
        <v>63</v>
      </c>
      <c r="D162" s="102" t="s">
        <v>437</v>
      </c>
      <c r="E162" s="103">
        <f>прил.3!O125</f>
        <v>330</v>
      </c>
    </row>
    <row r="163" spans="1:7" ht="31.5" customHeight="1" x14ac:dyDescent="0.25">
      <c r="A163" s="17" t="s">
        <v>366</v>
      </c>
      <c r="B163" s="102" t="s">
        <v>56</v>
      </c>
      <c r="C163" s="102" t="s">
        <v>63</v>
      </c>
      <c r="D163" s="104" t="s">
        <v>314</v>
      </c>
      <c r="E163" s="103">
        <f>прил.3!O127</f>
        <v>3023.95</v>
      </c>
    </row>
    <row r="164" spans="1:7" ht="31.5" customHeight="1" x14ac:dyDescent="0.25">
      <c r="A164" s="17" t="s">
        <v>367</v>
      </c>
      <c r="B164" s="102" t="s">
        <v>56</v>
      </c>
      <c r="C164" s="102" t="s">
        <v>63</v>
      </c>
      <c r="D164" s="104" t="s">
        <v>436</v>
      </c>
      <c r="E164" s="103">
        <f>прил.3!O129</f>
        <v>300</v>
      </c>
    </row>
    <row r="165" spans="1:7" ht="15" customHeight="1" x14ac:dyDescent="0.25">
      <c r="A165" s="17" t="s">
        <v>398</v>
      </c>
      <c r="B165" s="102" t="s">
        <v>56</v>
      </c>
      <c r="C165" s="102" t="s">
        <v>63</v>
      </c>
      <c r="D165" s="104" t="s">
        <v>435</v>
      </c>
      <c r="E165" s="103">
        <f>прил.3!O131</f>
        <v>1000</v>
      </c>
    </row>
    <row r="166" spans="1:7" x14ac:dyDescent="0.25">
      <c r="A166" s="9" t="s">
        <v>228</v>
      </c>
      <c r="B166" s="100" t="s">
        <v>43</v>
      </c>
      <c r="C166" s="100" t="s">
        <v>16</v>
      </c>
      <c r="D166" s="100" t="s">
        <v>130</v>
      </c>
      <c r="E166" s="101">
        <f>E167</f>
        <v>6366.2000000000007</v>
      </c>
      <c r="G166" s="61"/>
    </row>
    <row r="167" spans="1:7" x14ac:dyDescent="0.25">
      <c r="A167" s="9" t="s">
        <v>148</v>
      </c>
      <c r="B167" s="100" t="s">
        <v>43</v>
      </c>
      <c r="C167" s="100" t="s">
        <v>15</v>
      </c>
      <c r="D167" s="100" t="s">
        <v>130</v>
      </c>
      <c r="E167" s="101">
        <f>E168+E171+E173</f>
        <v>6366.2000000000007</v>
      </c>
    </row>
    <row r="168" spans="1:7" ht="15.75" customHeight="1" x14ac:dyDescent="0.25">
      <c r="A168" s="17" t="s">
        <v>294</v>
      </c>
      <c r="B168" s="102" t="s">
        <v>43</v>
      </c>
      <c r="C168" s="102" t="s">
        <v>15</v>
      </c>
      <c r="D168" s="102" t="s">
        <v>89</v>
      </c>
      <c r="E168" s="103">
        <f>E169+E170</f>
        <v>5504.2000000000007</v>
      </c>
    </row>
    <row r="169" spans="1:7" ht="16.5" customHeight="1" x14ac:dyDescent="0.25">
      <c r="A169" s="12" t="s">
        <v>52</v>
      </c>
      <c r="B169" s="102" t="s">
        <v>43</v>
      </c>
      <c r="C169" s="102" t="s">
        <v>15</v>
      </c>
      <c r="D169" s="102" t="s">
        <v>75</v>
      </c>
      <c r="E169" s="103">
        <f>прил.3!O395</f>
        <v>1708.9</v>
      </c>
    </row>
    <row r="170" spans="1:7" ht="16.5" customHeight="1" x14ac:dyDescent="0.25">
      <c r="A170" s="12" t="s">
        <v>151</v>
      </c>
      <c r="B170" s="102" t="s">
        <v>43</v>
      </c>
      <c r="C170" s="102" t="s">
        <v>15</v>
      </c>
      <c r="D170" s="102" t="s">
        <v>117</v>
      </c>
      <c r="E170" s="103">
        <f>прил.3!O380</f>
        <v>3795.3</v>
      </c>
    </row>
    <row r="171" spans="1:7" ht="15.75" customHeight="1" x14ac:dyDescent="0.25">
      <c r="A171" s="12" t="s">
        <v>149</v>
      </c>
      <c r="B171" s="102" t="s">
        <v>43</v>
      </c>
      <c r="C171" s="102" t="s">
        <v>15</v>
      </c>
      <c r="D171" s="102" t="s">
        <v>150</v>
      </c>
      <c r="E171" s="103">
        <f>E172</f>
        <v>800</v>
      </c>
    </row>
    <row r="172" spans="1:7" ht="31.5" x14ac:dyDescent="0.25">
      <c r="A172" s="12" t="s">
        <v>111</v>
      </c>
      <c r="B172" s="102" t="s">
        <v>44</v>
      </c>
      <c r="C172" s="102" t="s">
        <v>15</v>
      </c>
      <c r="D172" s="102" t="s">
        <v>65</v>
      </c>
      <c r="E172" s="103">
        <f>прил.3!O135</f>
        <v>800</v>
      </c>
    </row>
    <row r="173" spans="1:7" x14ac:dyDescent="0.25">
      <c r="A173" s="112" t="s">
        <v>588</v>
      </c>
      <c r="B173" s="102" t="s">
        <v>43</v>
      </c>
      <c r="C173" s="102" t="s">
        <v>15</v>
      </c>
      <c r="D173" s="102" t="s">
        <v>608</v>
      </c>
      <c r="E173" s="103">
        <f>прил.3!O389</f>
        <v>62</v>
      </c>
    </row>
    <row r="174" spans="1:7" hidden="1" x14ac:dyDescent="0.25">
      <c r="A174" s="25" t="s">
        <v>194</v>
      </c>
      <c r="B174" s="100" t="s">
        <v>63</v>
      </c>
      <c r="C174" s="100" t="s">
        <v>16</v>
      </c>
      <c r="D174" s="100" t="s">
        <v>130</v>
      </c>
      <c r="E174" s="101">
        <f>E175</f>
        <v>0</v>
      </c>
    </row>
    <row r="175" spans="1:7" hidden="1" x14ac:dyDescent="0.25">
      <c r="A175" s="9" t="s">
        <v>199</v>
      </c>
      <c r="B175" s="100" t="s">
        <v>63</v>
      </c>
      <c r="C175" s="100" t="s">
        <v>63</v>
      </c>
      <c r="D175" s="100" t="s">
        <v>130</v>
      </c>
      <c r="E175" s="101">
        <f>E176</f>
        <v>0</v>
      </c>
    </row>
    <row r="176" spans="1:7" hidden="1" x14ac:dyDescent="0.25">
      <c r="A176" s="12" t="s">
        <v>38</v>
      </c>
      <c r="B176" s="102" t="s">
        <v>63</v>
      </c>
      <c r="C176" s="102" t="s">
        <v>63</v>
      </c>
      <c r="D176" s="102" t="s">
        <v>39</v>
      </c>
      <c r="E176" s="103">
        <f>E177+E178</f>
        <v>0</v>
      </c>
    </row>
    <row r="177" spans="1:7" ht="31.5" hidden="1" x14ac:dyDescent="0.25">
      <c r="A177" s="12" t="s">
        <v>196</v>
      </c>
      <c r="B177" s="102" t="s">
        <v>63</v>
      </c>
      <c r="C177" s="102" t="s">
        <v>63</v>
      </c>
      <c r="D177" s="102" t="s">
        <v>167</v>
      </c>
      <c r="E177" s="103"/>
    </row>
    <row r="178" spans="1:7" ht="15" hidden="1" customHeight="1" x14ac:dyDescent="0.25">
      <c r="A178" s="12" t="s">
        <v>197</v>
      </c>
      <c r="B178" s="102" t="s">
        <v>63</v>
      </c>
      <c r="C178" s="102" t="s">
        <v>63</v>
      </c>
      <c r="D178" s="102" t="s">
        <v>168</v>
      </c>
      <c r="E178" s="103">
        <f>прил.3!O290</f>
        <v>0</v>
      </c>
    </row>
    <row r="179" spans="1:7" x14ac:dyDescent="0.25">
      <c r="A179" s="25" t="s">
        <v>67</v>
      </c>
      <c r="B179" s="100" t="s">
        <v>68</v>
      </c>
      <c r="C179" s="100" t="s">
        <v>16</v>
      </c>
      <c r="D179" s="100" t="s">
        <v>130</v>
      </c>
      <c r="E179" s="101">
        <f>E182+E185+E192+E198+E180</f>
        <v>22070.16</v>
      </c>
      <c r="G179" s="61"/>
    </row>
    <row r="180" spans="1:7" x14ac:dyDescent="0.25">
      <c r="A180" s="30" t="s">
        <v>390</v>
      </c>
      <c r="B180" s="100" t="s">
        <v>68</v>
      </c>
      <c r="C180" s="100" t="s">
        <v>15</v>
      </c>
      <c r="D180" s="100" t="s">
        <v>130</v>
      </c>
      <c r="E180" s="101">
        <f>E181</f>
        <v>473.8</v>
      </c>
    </row>
    <row r="181" spans="1:7" ht="16.5" customHeight="1" x14ac:dyDescent="0.25">
      <c r="A181" s="38" t="s">
        <v>432</v>
      </c>
      <c r="B181" s="102" t="s">
        <v>68</v>
      </c>
      <c r="C181" s="102" t="s">
        <v>15</v>
      </c>
      <c r="D181" s="104" t="s">
        <v>433</v>
      </c>
      <c r="E181" s="103">
        <f>прил.3!O336</f>
        <v>473.8</v>
      </c>
    </row>
    <row r="182" spans="1:7" x14ac:dyDescent="0.25">
      <c r="A182" s="9" t="s">
        <v>90</v>
      </c>
      <c r="B182" s="100" t="s">
        <v>68</v>
      </c>
      <c r="C182" s="100" t="s">
        <v>17</v>
      </c>
      <c r="D182" s="100" t="s">
        <v>130</v>
      </c>
      <c r="E182" s="101">
        <f>E183</f>
        <v>4237.8999999999996</v>
      </c>
    </row>
    <row r="183" spans="1:7" ht="13.5" customHeight="1" x14ac:dyDescent="0.25">
      <c r="A183" s="12" t="s">
        <v>91</v>
      </c>
      <c r="B183" s="102" t="s">
        <v>68</v>
      </c>
      <c r="C183" s="102" t="s">
        <v>17</v>
      </c>
      <c r="D183" s="102" t="s">
        <v>92</v>
      </c>
      <c r="E183" s="103">
        <f>E184</f>
        <v>4237.8999999999996</v>
      </c>
    </row>
    <row r="184" spans="1:7" ht="44.25" customHeight="1" x14ac:dyDescent="0.25">
      <c r="A184" s="12" t="s">
        <v>182</v>
      </c>
      <c r="B184" s="102" t="s">
        <v>68</v>
      </c>
      <c r="C184" s="102" t="s">
        <v>17</v>
      </c>
      <c r="D184" s="102" t="s">
        <v>93</v>
      </c>
      <c r="E184" s="103">
        <f>прил.3!O294</f>
        <v>4237.8999999999996</v>
      </c>
    </row>
    <row r="185" spans="1:7" x14ac:dyDescent="0.25">
      <c r="A185" s="9" t="s">
        <v>69</v>
      </c>
      <c r="B185" s="100" t="s">
        <v>68</v>
      </c>
      <c r="C185" s="100" t="s">
        <v>20</v>
      </c>
      <c r="D185" s="100" t="s">
        <v>130</v>
      </c>
      <c r="E185" s="101">
        <f>E188+E191+E187+E186+E190</f>
        <v>5227.22</v>
      </c>
    </row>
    <row r="186" spans="1:7" ht="31.5" x14ac:dyDescent="0.25">
      <c r="A186" s="12" t="s">
        <v>466</v>
      </c>
      <c r="B186" s="102" t="s">
        <v>68</v>
      </c>
      <c r="C186" s="102" t="s">
        <v>20</v>
      </c>
      <c r="D186" s="102" t="s">
        <v>467</v>
      </c>
      <c r="E186" s="103">
        <f>прил.3!O339</f>
        <v>99.54</v>
      </c>
    </row>
    <row r="187" spans="1:7" x14ac:dyDescent="0.25">
      <c r="A187" s="12" t="s">
        <v>102</v>
      </c>
      <c r="B187" s="102" t="s">
        <v>68</v>
      </c>
      <c r="C187" s="102" t="s">
        <v>20</v>
      </c>
      <c r="D187" s="102" t="s">
        <v>70</v>
      </c>
      <c r="E187" s="103">
        <f>прил.3!O341</f>
        <v>1104.3</v>
      </c>
    </row>
    <row r="188" spans="1:7" ht="15" customHeight="1" x14ac:dyDescent="0.25">
      <c r="A188" s="12" t="s">
        <v>71</v>
      </c>
      <c r="B188" s="102" t="s">
        <v>68</v>
      </c>
      <c r="C188" s="102" t="s">
        <v>20</v>
      </c>
      <c r="D188" s="102" t="s">
        <v>153</v>
      </c>
      <c r="E188" s="103">
        <f>E189</f>
        <v>2160</v>
      </c>
    </row>
    <row r="189" spans="1:7" x14ac:dyDescent="0.25">
      <c r="A189" s="12" t="s">
        <v>72</v>
      </c>
      <c r="B189" s="102" t="s">
        <v>68</v>
      </c>
      <c r="C189" s="102" t="s">
        <v>20</v>
      </c>
      <c r="D189" s="102" t="s">
        <v>73</v>
      </c>
      <c r="E189" s="103">
        <f>прил.3!O139+прил.3!O343</f>
        <v>2160</v>
      </c>
    </row>
    <row r="190" spans="1:7" x14ac:dyDescent="0.25">
      <c r="A190" s="38" t="s">
        <v>469</v>
      </c>
      <c r="B190" s="102" t="s">
        <v>68</v>
      </c>
      <c r="C190" s="102" t="s">
        <v>20</v>
      </c>
      <c r="D190" s="102" t="s">
        <v>470</v>
      </c>
      <c r="E190" s="103">
        <f>прил.3!O345</f>
        <v>136.58000000000001</v>
      </c>
    </row>
    <row r="191" spans="1:7" ht="28.5" customHeight="1" x14ac:dyDescent="0.25">
      <c r="A191" s="12" t="s">
        <v>368</v>
      </c>
      <c r="B191" s="102" t="s">
        <v>68</v>
      </c>
      <c r="C191" s="102" t="s">
        <v>20</v>
      </c>
      <c r="D191" s="102" t="s">
        <v>170</v>
      </c>
      <c r="E191" s="103">
        <f>прил.3!O347</f>
        <v>1726.8</v>
      </c>
    </row>
    <row r="192" spans="1:7" x14ac:dyDescent="0.25">
      <c r="A192" s="9" t="s">
        <v>74</v>
      </c>
      <c r="B192" s="100" t="s">
        <v>68</v>
      </c>
      <c r="C192" s="100" t="s">
        <v>24</v>
      </c>
      <c r="D192" s="100" t="s">
        <v>130</v>
      </c>
      <c r="E192" s="101">
        <f>E194+E193</f>
        <v>6839.6500000000005</v>
      </c>
    </row>
    <row r="193" spans="1:7" ht="31.5" x14ac:dyDescent="0.25">
      <c r="A193" s="12" t="s">
        <v>627</v>
      </c>
      <c r="B193" s="102" t="s">
        <v>68</v>
      </c>
      <c r="C193" s="102" t="s">
        <v>24</v>
      </c>
      <c r="D193" s="102" t="s">
        <v>600</v>
      </c>
      <c r="E193" s="103">
        <f>прил.3!O142</f>
        <v>117.8</v>
      </c>
    </row>
    <row r="194" spans="1:7" ht="14.25" customHeight="1" x14ac:dyDescent="0.25">
      <c r="A194" s="12" t="s">
        <v>79</v>
      </c>
      <c r="B194" s="102" t="s">
        <v>68</v>
      </c>
      <c r="C194" s="102" t="s">
        <v>24</v>
      </c>
      <c r="D194" s="102" t="s">
        <v>94</v>
      </c>
      <c r="E194" s="103">
        <f>E195+E196+E197</f>
        <v>6721.85</v>
      </c>
    </row>
    <row r="195" spans="1:7" ht="62.25" customHeight="1" x14ac:dyDescent="0.25">
      <c r="A195" s="17" t="s">
        <v>290</v>
      </c>
      <c r="B195" s="102" t="s">
        <v>68</v>
      </c>
      <c r="C195" s="102" t="s">
        <v>24</v>
      </c>
      <c r="D195" s="102" t="s">
        <v>114</v>
      </c>
      <c r="E195" s="103">
        <f>прил.3!O144</f>
        <v>1708.9</v>
      </c>
    </row>
    <row r="196" spans="1:7" ht="30" customHeight="1" x14ac:dyDescent="0.25">
      <c r="A196" s="17" t="s">
        <v>331</v>
      </c>
      <c r="B196" s="102" t="s">
        <v>68</v>
      </c>
      <c r="C196" s="102" t="s">
        <v>24</v>
      </c>
      <c r="D196" s="104" t="s">
        <v>330</v>
      </c>
      <c r="E196" s="103">
        <f>прил.3!O146</f>
        <v>632.6</v>
      </c>
    </row>
    <row r="197" spans="1:7" ht="91.5" customHeight="1" x14ac:dyDescent="0.25">
      <c r="A197" s="17" t="s">
        <v>369</v>
      </c>
      <c r="B197" s="111" t="s">
        <v>68</v>
      </c>
      <c r="C197" s="102" t="s">
        <v>24</v>
      </c>
      <c r="D197" s="102" t="s">
        <v>332</v>
      </c>
      <c r="E197" s="103">
        <f>прил.3!O150</f>
        <v>4380.3500000000004</v>
      </c>
    </row>
    <row r="198" spans="1:7" ht="15.75" customHeight="1" x14ac:dyDescent="0.25">
      <c r="A198" s="9" t="s">
        <v>103</v>
      </c>
      <c r="B198" s="100" t="s">
        <v>68</v>
      </c>
      <c r="C198" s="100" t="s">
        <v>98</v>
      </c>
      <c r="D198" s="100" t="s">
        <v>130</v>
      </c>
      <c r="E198" s="101">
        <f>E199+E200+E201+E202</f>
        <v>5291.5900000000011</v>
      </c>
    </row>
    <row r="199" spans="1:7" x14ac:dyDescent="0.25">
      <c r="A199" s="12" t="s">
        <v>22</v>
      </c>
      <c r="B199" s="102" t="s">
        <v>68</v>
      </c>
      <c r="C199" s="102" t="s">
        <v>98</v>
      </c>
      <c r="D199" s="102" t="s">
        <v>104</v>
      </c>
      <c r="E199" s="103">
        <f>прил.3!O350</f>
        <v>3353.9000000000005</v>
      </c>
    </row>
    <row r="200" spans="1:7" ht="29.25" customHeight="1" x14ac:dyDescent="0.25">
      <c r="A200" s="17" t="s">
        <v>282</v>
      </c>
      <c r="B200" s="102" t="s">
        <v>68</v>
      </c>
      <c r="C200" s="102" t="s">
        <v>98</v>
      </c>
      <c r="D200" s="104" t="s">
        <v>333</v>
      </c>
      <c r="E200" s="103">
        <f>прил.3!O356</f>
        <v>886.8</v>
      </c>
    </row>
    <row r="201" spans="1:7" ht="29.25" customHeight="1" x14ac:dyDescent="0.25">
      <c r="A201" s="17" t="s">
        <v>334</v>
      </c>
      <c r="B201" s="102" t="s">
        <v>68</v>
      </c>
      <c r="C201" s="102" t="s">
        <v>98</v>
      </c>
      <c r="D201" s="104" t="s">
        <v>323</v>
      </c>
      <c r="E201" s="103">
        <f>прил.3!O361</f>
        <v>158.34000000000003</v>
      </c>
    </row>
    <row r="202" spans="1:7" ht="30.75" customHeight="1" x14ac:dyDescent="0.25">
      <c r="A202" s="12" t="s">
        <v>626</v>
      </c>
      <c r="B202" s="102" t="s">
        <v>68</v>
      </c>
      <c r="C202" s="102" t="s">
        <v>98</v>
      </c>
      <c r="D202" s="109" t="s">
        <v>176</v>
      </c>
      <c r="E202" s="103">
        <f>прил.3!O366</f>
        <v>892.55</v>
      </c>
    </row>
    <row r="203" spans="1:7" x14ac:dyDescent="0.25">
      <c r="A203" s="25" t="s">
        <v>193</v>
      </c>
      <c r="B203" s="100" t="s">
        <v>107</v>
      </c>
      <c r="C203" s="100" t="s">
        <v>16</v>
      </c>
      <c r="D203" s="100" t="s">
        <v>130</v>
      </c>
      <c r="E203" s="101">
        <f>E204+E208</f>
        <v>4628.8100000000004</v>
      </c>
      <c r="G203" s="61"/>
    </row>
    <row r="204" spans="1:7" x14ac:dyDescent="0.25">
      <c r="A204" s="12" t="s">
        <v>195</v>
      </c>
      <c r="B204" s="102" t="s">
        <v>107</v>
      </c>
      <c r="C204" s="102" t="s">
        <v>15</v>
      </c>
      <c r="D204" s="102" t="s">
        <v>130</v>
      </c>
      <c r="E204" s="103">
        <f>E205+E207</f>
        <v>4600</v>
      </c>
    </row>
    <row r="205" spans="1:7" ht="16.5" customHeight="1" x14ac:dyDescent="0.25">
      <c r="A205" s="12" t="s">
        <v>105</v>
      </c>
      <c r="B205" s="102" t="s">
        <v>107</v>
      </c>
      <c r="C205" s="102" t="s">
        <v>15</v>
      </c>
      <c r="D205" s="102" t="s">
        <v>106</v>
      </c>
      <c r="E205" s="103">
        <f>E206</f>
        <v>1100</v>
      </c>
    </row>
    <row r="206" spans="1:7" ht="15" customHeight="1" x14ac:dyDescent="0.25">
      <c r="A206" s="12" t="s">
        <v>200</v>
      </c>
      <c r="B206" s="102" t="s">
        <v>107</v>
      </c>
      <c r="C206" s="102" t="s">
        <v>15</v>
      </c>
      <c r="D206" s="102" t="s">
        <v>66</v>
      </c>
      <c r="E206" s="103">
        <f>прил.3!O154</f>
        <v>1100</v>
      </c>
    </row>
    <row r="207" spans="1:7" ht="13.5" customHeight="1" x14ac:dyDescent="0.25">
      <c r="A207" s="12" t="s">
        <v>52</v>
      </c>
      <c r="B207" s="102" t="s">
        <v>107</v>
      </c>
      <c r="C207" s="102" t="s">
        <v>15</v>
      </c>
      <c r="D207" s="104" t="s">
        <v>335</v>
      </c>
      <c r="E207" s="103">
        <f>прил.3!O301</f>
        <v>3500</v>
      </c>
    </row>
    <row r="208" spans="1:7" ht="16.5" customHeight="1" x14ac:dyDescent="0.25">
      <c r="A208" s="36" t="s">
        <v>517</v>
      </c>
      <c r="B208" s="102" t="s">
        <v>107</v>
      </c>
      <c r="C208" s="102" t="s">
        <v>17</v>
      </c>
      <c r="D208" s="104" t="s">
        <v>130</v>
      </c>
      <c r="E208" s="103">
        <f>E209</f>
        <v>28.81</v>
      </c>
    </row>
    <row r="209" spans="1:7" ht="31.5" customHeight="1" x14ac:dyDescent="0.25">
      <c r="A209" s="17" t="s">
        <v>518</v>
      </c>
      <c r="B209" s="102" t="s">
        <v>107</v>
      </c>
      <c r="C209" s="102" t="s">
        <v>17</v>
      </c>
      <c r="D209" s="104" t="s">
        <v>519</v>
      </c>
      <c r="E209" s="103">
        <f>прил.3!O157</f>
        <v>28.81</v>
      </c>
    </row>
    <row r="210" spans="1:7" x14ac:dyDescent="0.25">
      <c r="A210" s="25" t="s">
        <v>192</v>
      </c>
      <c r="B210" s="100" t="s">
        <v>27</v>
      </c>
      <c r="C210" s="100" t="s">
        <v>16</v>
      </c>
      <c r="D210" s="100" t="s">
        <v>130</v>
      </c>
      <c r="E210" s="101">
        <f>E211</f>
        <v>1617.5</v>
      </c>
      <c r="G210" s="61"/>
    </row>
    <row r="211" spans="1:7" x14ac:dyDescent="0.25">
      <c r="A211" s="12" t="s">
        <v>152</v>
      </c>
      <c r="B211" s="102" t="s">
        <v>27</v>
      </c>
      <c r="C211" s="102" t="s">
        <v>17</v>
      </c>
      <c r="D211" s="102" t="s">
        <v>130</v>
      </c>
      <c r="E211" s="103">
        <f>E212</f>
        <v>1617.5</v>
      </c>
    </row>
    <row r="212" spans="1:7" ht="31.5" x14ac:dyDescent="0.25">
      <c r="A212" s="21" t="s">
        <v>110</v>
      </c>
      <c r="B212" s="102" t="s">
        <v>27</v>
      </c>
      <c r="C212" s="102" t="s">
        <v>17</v>
      </c>
      <c r="D212" s="102" t="s">
        <v>607</v>
      </c>
      <c r="E212" s="103">
        <f>E213</f>
        <v>1617.5</v>
      </c>
    </row>
    <row r="213" spans="1:7" ht="31.5" x14ac:dyDescent="0.25">
      <c r="A213" s="21" t="s">
        <v>111</v>
      </c>
      <c r="B213" s="102" t="s">
        <v>27</v>
      </c>
      <c r="C213" s="102" t="s">
        <v>17</v>
      </c>
      <c r="D213" s="102" t="s">
        <v>607</v>
      </c>
      <c r="E213" s="103">
        <f>прил.3!O307</f>
        <v>1617.5</v>
      </c>
    </row>
    <row r="214" spans="1:7" x14ac:dyDescent="0.25">
      <c r="A214" s="113" t="s">
        <v>187</v>
      </c>
      <c r="B214" s="100" t="s">
        <v>186</v>
      </c>
      <c r="C214" s="100" t="s">
        <v>16</v>
      </c>
      <c r="D214" s="100" t="s">
        <v>130</v>
      </c>
      <c r="E214" s="101">
        <f>E215</f>
        <v>819.8</v>
      </c>
      <c r="G214" s="61"/>
    </row>
    <row r="215" spans="1:7" ht="15" customHeight="1" x14ac:dyDescent="0.25">
      <c r="A215" s="20" t="s">
        <v>188</v>
      </c>
      <c r="B215" s="100" t="s">
        <v>186</v>
      </c>
      <c r="C215" s="100" t="s">
        <v>15</v>
      </c>
      <c r="D215" s="100" t="s">
        <v>130</v>
      </c>
      <c r="E215" s="101">
        <f>E216</f>
        <v>819.8</v>
      </c>
    </row>
    <row r="216" spans="1:7" x14ac:dyDescent="0.25">
      <c r="A216" s="21" t="s">
        <v>109</v>
      </c>
      <c r="B216" s="102" t="s">
        <v>186</v>
      </c>
      <c r="C216" s="102" t="s">
        <v>15</v>
      </c>
      <c r="D216" s="102" t="s">
        <v>108</v>
      </c>
      <c r="E216" s="103">
        <f>прил.3!O312</f>
        <v>819.8</v>
      </c>
    </row>
    <row r="217" spans="1:7" ht="43.5" customHeight="1" x14ac:dyDescent="0.25">
      <c r="A217" s="49" t="s">
        <v>189</v>
      </c>
      <c r="B217" s="100" t="s">
        <v>30</v>
      </c>
      <c r="C217" s="100" t="s">
        <v>16</v>
      </c>
      <c r="D217" s="100" t="s">
        <v>130</v>
      </c>
      <c r="E217" s="101">
        <f>E218+E223</f>
        <v>9785</v>
      </c>
      <c r="G217" s="61"/>
    </row>
    <row r="218" spans="1:7" ht="32.25" customHeight="1" x14ac:dyDescent="0.25">
      <c r="A218" s="20" t="s">
        <v>190</v>
      </c>
      <c r="B218" s="100" t="s">
        <v>30</v>
      </c>
      <c r="C218" s="100" t="s">
        <v>15</v>
      </c>
      <c r="D218" s="100" t="s">
        <v>130</v>
      </c>
      <c r="E218" s="101">
        <f>E219+E221</f>
        <v>8235</v>
      </c>
    </row>
    <row r="219" spans="1:7" x14ac:dyDescent="0.25">
      <c r="A219" s="21" t="s">
        <v>154</v>
      </c>
      <c r="B219" s="102" t="s">
        <v>30</v>
      </c>
      <c r="C219" s="102" t="s">
        <v>15</v>
      </c>
      <c r="D219" s="102" t="s">
        <v>155</v>
      </c>
      <c r="E219" s="103">
        <f>E220</f>
        <v>8235</v>
      </c>
    </row>
    <row r="220" spans="1:7" ht="29.25" customHeight="1" x14ac:dyDescent="0.25">
      <c r="A220" s="21" t="s">
        <v>112</v>
      </c>
      <c r="B220" s="102" t="s">
        <v>30</v>
      </c>
      <c r="C220" s="102" t="s">
        <v>15</v>
      </c>
      <c r="D220" s="102" t="s">
        <v>156</v>
      </c>
      <c r="E220" s="103">
        <f>прил.3!O316</f>
        <v>8235</v>
      </c>
    </row>
    <row r="221" spans="1:7" hidden="1" x14ac:dyDescent="0.25">
      <c r="A221" s="16" t="s">
        <v>191</v>
      </c>
      <c r="B221" s="100" t="s">
        <v>30</v>
      </c>
      <c r="C221" s="100" t="s">
        <v>17</v>
      </c>
      <c r="D221" s="100" t="s">
        <v>185</v>
      </c>
      <c r="E221" s="101">
        <f>E222</f>
        <v>0</v>
      </c>
    </row>
    <row r="222" spans="1:7" ht="30.75" hidden="1" customHeight="1" x14ac:dyDescent="0.25">
      <c r="A222" s="1" t="s">
        <v>183</v>
      </c>
      <c r="B222" s="102" t="s">
        <v>30</v>
      </c>
      <c r="C222" s="102" t="s">
        <v>17</v>
      </c>
      <c r="D222" s="102" t="s">
        <v>184</v>
      </c>
      <c r="E222" s="103"/>
    </row>
    <row r="223" spans="1:7" x14ac:dyDescent="0.25">
      <c r="A223" s="20" t="s">
        <v>113</v>
      </c>
      <c r="B223" s="100" t="s">
        <v>30</v>
      </c>
      <c r="C223" s="100" t="s">
        <v>20</v>
      </c>
      <c r="D223" s="100" t="s">
        <v>130</v>
      </c>
      <c r="E223" s="101">
        <f>E224</f>
        <v>1550</v>
      </c>
    </row>
    <row r="224" spans="1:7" ht="31.5" x14ac:dyDescent="0.25">
      <c r="A224" s="21" t="s">
        <v>171</v>
      </c>
      <c r="B224" s="102" t="s">
        <v>30</v>
      </c>
      <c r="C224" s="102" t="s">
        <v>20</v>
      </c>
      <c r="D224" s="102" t="s">
        <v>172</v>
      </c>
      <c r="E224" s="103">
        <f>прил.3!O318</f>
        <v>1550</v>
      </c>
    </row>
    <row r="225" spans="1:7" ht="16.5" thickBot="1" x14ac:dyDescent="0.3">
      <c r="A225" s="114" t="s">
        <v>157</v>
      </c>
      <c r="B225" s="22"/>
      <c r="C225" s="22"/>
      <c r="D225" s="22"/>
      <c r="E225" s="23">
        <f>E13+E44+E47+E52+E82+E118+E166+E179+E203+E210+E214+E217</f>
        <v>602289.84</v>
      </c>
      <c r="G225" s="61"/>
    </row>
    <row r="226" spans="1:7" ht="22.5" hidden="1" customHeight="1" x14ac:dyDescent="0.25">
      <c r="E226" s="15">
        <f>E225-прил.3!O554</f>
        <v>13357.989999999991</v>
      </c>
    </row>
  </sheetData>
  <mergeCells count="9">
    <mergeCell ref="A6:E6"/>
    <mergeCell ref="A7:E7"/>
    <mergeCell ref="A8:E8"/>
    <mergeCell ref="A10:E10"/>
    <mergeCell ref="A1:E1"/>
    <mergeCell ref="A2:E2"/>
    <mergeCell ref="A3:E3"/>
    <mergeCell ref="A4:E4"/>
    <mergeCell ref="A5:E5"/>
  </mergeCells>
  <pageMargins left="0.88" right="0.19685039370078741" top="0.15748031496062992" bottom="7.874015748031496E-2" header="0.11811023622047245" footer="0.11811023622047245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прил.3</vt:lpstr>
      <vt:lpstr>прил.4</vt:lpstr>
      <vt:lpstr>Лист1</vt:lpstr>
      <vt:lpstr>прил.3!Заголовки_для_печати</vt:lpstr>
      <vt:lpstr>прил.4!Заголовки_для_печати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2013-09-11T07:56:02Z</dcterms:modified>
</cp:coreProperties>
</file>